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9060" activeTab="2"/>
  </bookViews>
  <sheets>
    <sheet name="COSTOS" sheetId="2" r:id="rId1"/>
    <sheet name="Hoja1" sheetId="1" r:id="rId2"/>
    <sheet name="Hoja2" sheetId="3" r:id="rId3"/>
  </sheets>
  <definedNames>
    <definedName name="_xlnm._FilterDatabase" localSheetId="0" hidden="1">COSTOS!$A$3:$D$30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3" l="1"/>
  <c r="L9" i="3"/>
  <c r="D23" i="3"/>
  <c r="C23" i="3"/>
  <c r="H23" i="3"/>
  <c r="K8" i="3"/>
  <c r="K9" i="3" s="1"/>
  <c r="K11" i="3" s="1"/>
  <c r="J11" i="3"/>
  <c r="J9" i="3"/>
  <c r="J8" i="3"/>
  <c r="D12" i="3" l="1"/>
  <c r="E12" i="3" s="1"/>
  <c r="D17" i="3" l="1"/>
  <c r="E17" i="3" s="1"/>
  <c r="D21" i="3"/>
  <c r="E21" i="3" s="1"/>
  <c r="D20" i="3"/>
  <c r="E20" i="3" s="1"/>
  <c r="D19" i="3"/>
  <c r="E19" i="3" s="1"/>
  <c r="D18" i="3"/>
  <c r="E18" i="3" s="1"/>
  <c r="D16" i="3"/>
  <c r="E16" i="3" s="1"/>
  <c r="D15" i="3"/>
  <c r="E15" i="3" s="1"/>
  <c r="D14" i="3"/>
  <c r="E14" i="3" s="1"/>
  <c r="D13" i="3"/>
  <c r="E13" i="3" s="1"/>
  <c r="D11" i="3"/>
  <c r="E11" i="3" s="1"/>
  <c r="D10" i="3"/>
  <c r="E10" i="3" s="1"/>
  <c r="D9" i="3"/>
  <c r="E9" i="3" s="1"/>
  <c r="D8" i="3"/>
  <c r="E8" i="3" s="1"/>
  <c r="D7" i="3"/>
  <c r="E7" i="3" s="1"/>
  <c r="D6" i="3"/>
  <c r="E6" i="3" s="1"/>
  <c r="M15" i="2"/>
  <c r="M13" i="2"/>
  <c r="M19" i="2"/>
  <c r="M11" i="2"/>
  <c r="M29" i="2" s="1"/>
  <c r="M7" i="2"/>
  <c r="M5" i="2"/>
  <c r="M28" i="2"/>
  <c r="M27" i="2"/>
  <c r="M25" i="2"/>
  <c r="M24" i="2"/>
  <c r="M21" i="2"/>
  <c r="M18" i="2"/>
  <c r="M17" i="2"/>
  <c r="M16" i="2"/>
  <c r="M14" i="2"/>
  <c r="M38" i="2" s="1"/>
  <c r="M36" i="2"/>
  <c r="M12" i="2"/>
  <c r="M35" i="2" s="1"/>
  <c r="M39" i="2"/>
  <c r="M37" i="2"/>
  <c r="D22" i="3" l="1"/>
  <c r="M34" i="2"/>
  <c r="L50" i="2"/>
  <c r="K50" i="2"/>
  <c r="J50" i="2"/>
  <c r="I50" i="2"/>
  <c r="L48" i="2"/>
  <c r="K48" i="2"/>
  <c r="J48" i="2"/>
  <c r="E22" i="3" l="1"/>
  <c r="D24" i="3"/>
  <c r="M44" i="2"/>
  <c r="M45" i="2" s="1"/>
  <c r="M47" i="2" s="1"/>
  <c r="M48" i="2" s="1"/>
  <c r="M40" i="2"/>
  <c r="L17" i="2"/>
  <c r="L15" i="2"/>
  <c r="L14" i="2"/>
  <c r="L12" i="2"/>
  <c r="L35" i="2" s="1"/>
  <c r="L7" i="2"/>
  <c r="K12" i="2"/>
  <c r="K35" i="2"/>
  <c r="K19" i="2"/>
  <c r="K15" i="2"/>
  <c r="K14" i="2"/>
  <c r="K7" i="2"/>
  <c r="L36" i="2"/>
  <c r="L28" i="2"/>
  <c r="L27" i="2"/>
  <c r="L25" i="2"/>
  <c r="L24" i="2"/>
  <c r="L21" i="2"/>
  <c r="L19" i="2"/>
  <c r="L18" i="2"/>
  <c r="L16" i="2"/>
  <c r="L38" i="2"/>
  <c r="L13" i="2"/>
  <c r="L11" i="2"/>
  <c r="L39" i="2" s="1"/>
  <c r="L37" i="2"/>
  <c r="L5" i="2"/>
  <c r="L34" i="2" s="1"/>
  <c r="K28" i="2"/>
  <c r="K27" i="2"/>
  <c r="K25" i="2"/>
  <c r="K24" i="2"/>
  <c r="K21" i="2"/>
  <c r="K18" i="2"/>
  <c r="K17" i="2"/>
  <c r="K16" i="2"/>
  <c r="K38" i="2"/>
  <c r="K13" i="2"/>
  <c r="K36" i="2" s="1"/>
  <c r="K11" i="2"/>
  <c r="K39" i="2" s="1"/>
  <c r="K37" i="2"/>
  <c r="K5" i="2"/>
  <c r="K29" i="2" s="1"/>
  <c r="D25" i="3" l="1"/>
  <c r="D26" i="3" s="1"/>
  <c r="M49" i="2"/>
  <c r="L40" i="2"/>
  <c r="L44" i="2"/>
  <c r="L45" i="2" s="1"/>
  <c r="L47" i="2" s="1"/>
  <c r="L29" i="2"/>
  <c r="K34" i="2"/>
  <c r="I17" i="2"/>
  <c r="I5" i="2"/>
  <c r="J5" i="2"/>
  <c r="D27" i="3" l="1"/>
  <c r="D28" i="3" s="1"/>
  <c r="D29" i="3" s="1"/>
  <c r="M50" i="2"/>
  <c r="M51" i="2" s="1"/>
  <c r="M52" i="2" s="1"/>
  <c r="M53" i="2" s="1"/>
  <c r="L49" i="2"/>
  <c r="K44" i="2"/>
  <c r="K45" i="2" s="1"/>
  <c r="K47" i="2" s="1"/>
  <c r="K40" i="2"/>
  <c r="J27" i="2"/>
  <c r="I27" i="2"/>
  <c r="I23" i="2"/>
  <c r="J19" i="2"/>
  <c r="J17" i="2"/>
  <c r="J11" i="2"/>
  <c r="J39" i="2" s="1"/>
  <c r="J7" i="2"/>
  <c r="J37" i="2"/>
  <c r="J35" i="2"/>
  <c r="J28" i="2"/>
  <c r="J25" i="2"/>
  <c r="J13" i="2"/>
  <c r="J36" i="2" s="1"/>
  <c r="I13" i="2"/>
  <c r="I12" i="2"/>
  <c r="I36" i="2"/>
  <c r="I35" i="2"/>
  <c r="I33" i="2"/>
  <c r="I28" i="2"/>
  <c r="I25" i="2"/>
  <c r="I19" i="2"/>
  <c r="I7" i="2"/>
  <c r="I37" i="2" s="1"/>
  <c r="C5" i="2"/>
  <c r="L51" i="2" l="1"/>
  <c r="L52" i="2" s="1"/>
  <c r="L53" i="2" s="1"/>
  <c r="K49" i="2"/>
  <c r="I11" i="2"/>
  <c r="I39" i="2" s="1"/>
  <c r="E43" i="2"/>
  <c r="E27" i="2"/>
  <c r="E26" i="2"/>
  <c r="I26" i="2" s="1"/>
  <c r="E24" i="2"/>
  <c r="E22" i="2"/>
  <c r="E21" i="2"/>
  <c r="I21" i="2" s="1"/>
  <c r="E20" i="2"/>
  <c r="E18" i="2"/>
  <c r="I18" i="2" s="1"/>
  <c r="E16" i="2"/>
  <c r="E15" i="2"/>
  <c r="E14" i="2"/>
  <c r="I14" i="2" s="1"/>
  <c r="E13" i="2"/>
  <c r="E10" i="2"/>
  <c r="E9" i="2"/>
  <c r="E6" i="2"/>
  <c r="D38" i="2"/>
  <c r="C38" i="2"/>
  <c r="D36" i="2"/>
  <c r="C36" i="2"/>
  <c r="D33" i="2"/>
  <c r="C43" i="2" s="1"/>
  <c r="C33" i="2"/>
  <c r="D5" i="2"/>
  <c r="C7" i="2"/>
  <c r="D7" i="2"/>
  <c r="C8" i="2"/>
  <c r="D8" i="2"/>
  <c r="C11" i="2"/>
  <c r="C39" i="2" s="1"/>
  <c r="D11" i="2"/>
  <c r="C12" i="2"/>
  <c r="C35" i="2" s="1"/>
  <c r="D12" i="2"/>
  <c r="D35" i="2" s="1"/>
  <c r="C17" i="2"/>
  <c r="D17" i="2"/>
  <c r="C19" i="2"/>
  <c r="E19" i="2" s="1"/>
  <c r="D19" i="2"/>
  <c r="C23" i="2"/>
  <c r="D23" i="2"/>
  <c r="C25" i="2"/>
  <c r="D25" i="2"/>
  <c r="C28" i="2"/>
  <c r="D28" i="2"/>
  <c r="K51" i="2" l="1"/>
  <c r="K52" i="2" s="1"/>
  <c r="K53" i="2" s="1"/>
  <c r="E17" i="2"/>
  <c r="E7" i="2"/>
  <c r="D29" i="2"/>
  <c r="E28" i="2"/>
  <c r="E8" i="2"/>
  <c r="J16" i="2"/>
  <c r="I16" i="2"/>
  <c r="J24" i="2"/>
  <c r="I24" i="2"/>
  <c r="J15" i="2"/>
  <c r="I15" i="2"/>
  <c r="I38" i="2" s="1"/>
  <c r="E25" i="2"/>
  <c r="C29" i="2"/>
  <c r="E5" i="2"/>
  <c r="E23" i="2"/>
  <c r="E11" i="2"/>
  <c r="E12" i="2"/>
  <c r="C37" i="2"/>
  <c r="D43" i="2"/>
  <c r="D34" i="2"/>
  <c r="D39" i="2"/>
  <c r="D37" i="2"/>
  <c r="C34" i="2"/>
  <c r="I29" i="2" l="1"/>
  <c r="I34" i="2"/>
  <c r="E29" i="2"/>
  <c r="F20" i="2" s="1"/>
  <c r="G20" i="2" s="1"/>
  <c r="H20" i="2" s="1"/>
  <c r="C44" i="2"/>
  <c r="C45" i="2" s="1"/>
  <c r="C47" i="2" s="1"/>
  <c r="C48" i="2" s="1"/>
  <c r="D44" i="2"/>
  <c r="D45" i="2" s="1"/>
  <c r="D47" i="2" s="1"/>
  <c r="D40" i="2"/>
  <c r="C40" i="2"/>
  <c r="A34" i="2" s="1"/>
  <c r="D48" i="2" l="1"/>
  <c r="D49" i="2" s="1"/>
  <c r="D50" i="2" s="1"/>
  <c r="D51" i="2" s="1"/>
  <c r="D52" i="2" s="1"/>
  <c r="D53" i="2" s="1"/>
  <c r="I40" i="2"/>
  <c r="I44" i="2"/>
  <c r="I45" i="2" s="1"/>
  <c r="I47" i="2" s="1"/>
  <c r="I48" i="2" s="1"/>
  <c r="I49" i="2" s="1"/>
  <c r="I51" i="2" s="1"/>
  <c r="F9" i="2"/>
  <c r="G9" i="2" s="1"/>
  <c r="H9" i="2" s="1"/>
  <c r="F25" i="2"/>
  <c r="G25" i="2" s="1"/>
  <c r="H25" i="2" s="1"/>
  <c r="F22" i="2"/>
  <c r="G22" i="2" s="1"/>
  <c r="H22" i="2" s="1"/>
  <c r="F12" i="2"/>
  <c r="G12" i="2" s="1"/>
  <c r="H12" i="2" s="1"/>
  <c r="E35" i="2" s="1"/>
  <c r="F6" i="2"/>
  <c r="G6" i="2" s="1"/>
  <c r="H6" i="2" s="1"/>
  <c r="F19" i="2"/>
  <c r="G19" i="2" s="1"/>
  <c r="H19" i="2" s="1"/>
  <c r="F13" i="2"/>
  <c r="G13" i="2" s="1"/>
  <c r="H13" i="2" s="1"/>
  <c r="F23" i="2"/>
  <c r="G23" i="2" s="1"/>
  <c r="H23" i="2" s="1"/>
  <c r="F21" i="2"/>
  <c r="F14" i="2"/>
  <c r="F15" i="2"/>
  <c r="G15" i="2" s="1"/>
  <c r="H15" i="2" s="1"/>
  <c r="F28" i="2"/>
  <c r="G28" i="2" s="1"/>
  <c r="H28" i="2" s="1"/>
  <c r="F11" i="2"/>
  <c r="G11" i="2" s="1"/>
  <c r="H11" i="2" s="1"/>
  <c r="E39" i="2" s="1"/>
  <c r="F5" i="2"/>
  <c r="G5" i="2" s="1"/>
  <c r="F17" i="2"/>
  <c r="G17" i="2" s="1"/>
  <c r="H17" i="2" s="1"/>
  <c r="F10" i="2"/>
  <c r="G10" i="2" s="1"/>
  <c r="H10" i="2" s="1"/>
  <c r="F16" i="2"/>
  <c r="G16" i="2" s="1"/>
  <c r="H16" i="2" s="1"/>
  <c r="F8" i="2"/>
  <c r="G8" i="2" s="1"/>
  <c r="H8" i="2" s="1"/>
  <c r="F27" i="2"/>
  <c r="G27" i="2" s="1"/>
  <c r="H27" i="2" s="1"/>
  <c r="F26" i="2"/>
  <c r="F18" i="2"/>
  <c r="F7" i="2"/>
  <c r="G7" i="2" s="1"/>
  <c r="H7" i="2" s="1"/>
  <c r="F24" i="2"/>
  <c r="G24" i="2" s="1"/>
  <c r="H24" i="2" s="1"/>
  <c r="C49" i="2"/>
  <c r="C50" i="2" s="1"/>
  <c r="A38" i="2"/>
  <c r="A33" i="2"/>
  <c r="A39" i="2"/>
  <c r="A35" i="2"/>
  <c r="A36" i="2"/>
  <c r="A37" i="2"/>
  <c r="I52" i="2" l="1"/>
  <c r="I53" i="2" s="1"/>
  <c r="G14" i="2"/>
  <c r="H14" i="2" s="1"/>
  <c r="J14" i="2"/>
  <c r="G26" i="2"/>
  <c r="H26" i="2" s="1"/>
  <c r="G18" i="2"/>
  <c r="H18" i="2" s="1"/>
  <c r="J18" i="2"/>
  <c r="J34" i="2" s="1"/>
  <c r="G21" i="2"/>
  <c r="H21" i="2" s="1"/>
  <c r="J21" i="2"/>
  <c r="E37" i="2"/>
  <c r="E38" i="2"/>
  <c r="E36" i="2"/>
  <c r="F29" i="2"/>
  <c r="H5" i="2"/>
  <c r="C51" i="2"/>
  <c r="C52" i="2" s="1"/>
  <c r="C53" i="2" s="1"/>
  <c r="J38" i="2" l="1"/>
  <c r="J40" i="2" s="1"/>
  <c r="J29" i="2"/>
  <c r="E34" i="2"/>
  <c r="G29" i="2"/>
  <c r="H29" i="2" s="1"/>
  <c r="E44" i="2"/>
  <c r="E45" i="2" s="1"/>
  <c r="E47" i="2" s="1"/>
  <c r="E40" i="2"/>
  <c r="J44" i="2" l="1"/>
  <c r="J45" i="2" s="1"/>
  <c r="J47" i="2" s="1"/>
  <c r="J49" i="2" s="1"/>
  <c r="J51" i="2" s="1"/>
  <c r="E48" i="2"/>
  <c r="E49" i="2" s="1"/>
  <c r="E50" i="2" s="1"/>
  <c r="E51" i="2" s="1"/>
  <c r="E52" i="2" s="1"/>
  <c r="E53" i="2" s="1"/>
  <c r="J52" i="2" l="1"/>
  <c r="J53" i="2" s="1"/>
  <c r="B40" i="1"/>
  <c r="E38" i="1"/>
  <c r="D38" i="1"/>
  <c r="B38" i="1"/>
  <c r="B39" i="1"/>
</calcChain>
</file>

<file path=xl/sharedStrings.xml><?xml version="1.0" encoding="utf-8"?>
<sst xmlns="http://schemas.openxmlformats.org/spreadsheetml/2006/main" count="146" uniqueCount="96">
  <si>
    <t>CAT</t>
  </si>
  <si>
    <t>PROYECTADO</t>
  </si>
  <si>
    <t>REAL</t>
  </si>
  <si>
    <t>Chatarra</t>
  </si>
  <si>
    <t>Administración</t>
  </si>
  <si>
    <t>Equipo (Grúa y Montacargas)</t>
  </si>
  <si>
    <t>Insumos</t>
  </si>
  <si>
    <t>Mano de Obra Directa</t>
  </si>
  <si>
    <t>Seguridad Industrial SYSO</t>
  </si>
  <si>
    <t xml:space="preserve">Transporte </t>
  </si>
  <si>
    <t>TOTAL</t>
  </si>
  <si>
    <t>PARTIDAS</t>
  </si>
  <si>
    <t>ANUAL</t>
  </si>
  <si>
    <t>UTILIDAD NETA</t>
  </si>
  <si>
    <t>Utilidad Antes de Impuestos sobre la renta</t>
  </si>
  <si>
    <t>ULITIDAD ANTES DE IMPUESTOS</t>
  </si>
  <si>
    <t>TOTAL EGRESOS</t>
  </si>
  <si>
    <t>Gastos de Operación</t>
  </si>
  <si>
    <t>Compra de Chatarra</t>
  </si>
  <si>
    <t>RESUMEN EGRESOS</t>
  </si>
  <si>
    <t>Admón</t>
  </si>
  <si>
    <t>TOTALES</t>
  </si>
  <si>
    <t>Transporte</t>
  </si>
  <si>
    <t>SYSO</t>
  </si>
  <si>
    <t>Mano de Obra</t>
  </si>
  <si>
    <t>RUBRO</t>
  </si>
  <si>
    <t>PART</t>
  </si>
  <si>
    <t>Costo Capital</t>
  </si>
  <si>
    <t>ADMON</t>
  </si>
  <si>
    <t>Imprevistos</t>
  </si>
  <si>
    <t>Papelería y Comunicaciones</t>
  </si>
  <si>
    <t>Depreciación</t>
  </si>
  <si>
    <t>Pasajes de Personal</t>
  </si>
  <si>
    <t>Materiales y Herramientas</t>
  </si>
  <si>
    <t>Spray</t>
  </si>
  <si>
    <t>Suero</t>
  </si>
  <si>
    <t>Agua</t>
  </si>
  <si>
    <t>Colchonetas</t>
  </si>
  <si>
    <t>Alimentación (Viáticos)</t>
  </si>
  <si>
    <t>Vivienda</t>
  </si>
  <si>
    <t>Zapatos de Cubo</t>
  </si>
  <si>
    <t>Guantes</t>
  </si>
  <si>
    <t>Combustible</t>
  </si>
  <si>
    <t>Equipo (Montacargas Daniel)</t>
  </si>
  <si>
    <t>Equipo</t>
  </si>
  <si>
    <t>Transporte ($275 &amp; $400 / 35TM)</t>
  </si>
  <si>
    <t>Gas Propano</t>
  </si>
  <si>
    <t>Oxigeno</t>
  </si>
  <si>
    <t>MOD</t>
  </si>
  <si>
    <t>Salario Auxiliares</t>
  </si>
  <si>
    <t>Salario Oxicortador</t>
  </si>
  <si>
    <t>Supervisión de Campo</t>
  </si>
  <si>
    <t>Costo Chatarra</t>
  </si>
  <si>
    <t>CATARRA</t>
  </si>
  <si>
    <t>CHAPA</t>
  </si>
  <si>
    <t>IZALCO</t>
  </si>
  <si>
    <t>INGRESOS</t>
  </si>
  <si>
    <t>TARGET TM</t>
  </si>
  <si>
    <t>COSTO PROM</t>
  </si>
  <si>
    <t>PONDERADO</t>
  </si>
  <si>
    <t>Reserva L</t>
  </si>
  <si>
    <t>Renta</t>
  </si>
  <si>
    <t>REAL 1°</t>
  </si>
  <si>
    <t>POMDERADO</t>
  </si>
  <si>
    <t>REAL 2°</t>
  </si>
  <si>
    <t>Ineficiencias (Merma)</t>
  </si>
  <si>
    <t>PRESTACIONES</t>
  </si>
  <si>
    <t>ABRIL</t>
  </si>
  <si>
    <t>MAYO</t>
  </si>
  <si>
    <t>PRESUPUESTO 15 DIAS</t>
  </si>
  <si>
    <t>TURBO GENERADOR KG</t>
  </si>
  <si>
    <t>EGRESOS</t>
  </si>
  <si>
    <t>COSTO UNIDAD</t>
  </si>
  <si>
    <t>CENTRAL IZALCO</t>
  </si>
  <si>
    <t>CANTIDAD</t>
  </si>
  <si>
    <t>TM</t>
  </si>
  <si>
    <t>KILO</t>
  </si>
  <si>
    <t>Oxi-cortador $20 diarios</t>
  </si>
  <si>
    <t>Auxiliar y cortador</t>
  </si>
  <si>
    <t>Auxiliar</t>
  </si>
  <si>
    <t>Viaticos</t>
  </si>
  <si>
    <t>Gas propano</t>
  </si>
  <si>
    <t>Combustible y depreciacion</t>
  </si>
  <si>
    <t>Viaticos Daniel</t>
  </si>
  <si>
    <t>Flete</t>
  </si>
  <si>
    <t>Sueldo Daniel</t>
  </si>
  <si>
    <t>Discos de corte</t>
  </si>
  <si>
    <t>EGRESOS GRUTO</t>
  </si>
  <si>
    <t>Venta Chatarra</t>
  </si>
  <si>
    <t>Utilidad bruta</t>
  </si>
  <si>
    <t>Reserva Legal</t>
  </si>
  <si>
    <t>Sub Total</t>
  </si>
  <si>
    <t>IMPUESTO ISR</t>
  </si>
  <si>
    <t>Utilidad neta</t>
  </si>
  <si>
    <t>Distribución</t>
  </si>
  <si>
    <t>Prestaciones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</si>
</sst>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;[Red]\-&quot;$&quot;#,##0"/>
    <numFmt numFmtId="44" formatCode="_-&quot;$&quot;* #,##0.00_-;\-&quot;$&quot;* #,##0.00_-;_-&quot;$&quot;* &quot;-&quot;??_-;_-@_-"/>
    <numFmt numFmtId="164" formatCode="&quot;$&quot;#,##0.0000;[Red]\-&quot;$&quot;#,##0.0000"/>
    <numFmt numFmtId="165" formatCode="&quot;$&quot;#,##0.0000"/>
    <numFmt numFmtId="166" formatCode="&quot;$&quot;#,##0"/>
    <numFmt numFmtId="167" formatCode="#,##0_ ;[Red]\-#,##0\ "/>
    <numFmt numFmtId="168" formatCode="&quot;$&quot;#,##0.00"/>
    <numFmt numFmtId="169" formatCode="_-&quot;$&quot;* #,##0.000_-;\-&quot;$&quot;* #,##0.000_-;_-&quot;$&quot;* &quot;-&quot;??_-;_-@_-"/>
    <numFmt numFmtId="170" formatCode="_-&quot;$&quot;* #,##0.0000_-;\-&quot;$&quot;* #,##0.00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164" fontId="0" fillId="0" borderId="0" xfId="0" applyNumberFormat="1"/>
    <xf numFmtId="3" fontId="0" fillId="0" borderId="0" xfId="0" applyNumberFormat="1" applyAlignment="1">
      <alignment horizontal="center"/>
    </xf>
    <xf numFmtId="9" fontId="0" fillId="0" borderId="0" xfId="1" applyFont="1"/>
    <xf numFmtId="6" fontId="0" fillId="0" borderId="0" xfId="0" applyNumberFormat="1"/>
    <xf numFmtId="0" fontId="2" fillId="0" borderId="0" xfId="0" applyFont="1"/>
    <xf numFmtId="0" fontId="2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164" fontId="2" fillId="2" borderId="1" xfId="0" applyNumberFormat="1" applyFont="1" applyFill="1" applyBorder="1"/>
    <xf numFmtId="166" fontId="2" fillId="0" borderId="1" xfId="0" applyNumberFormat="1" applyFont="1" applyBorder="1"/>
    <xf numFmtId="166" fontId="2" fillId="0" borderId="0" xfId="0" applyNumberFormat="1" applyFont="1"/>
    <xf numFmtId="0" fontId="5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0" xfId="0" applyFont="1" applyFill="1"/>
    <xf numFmtId="165" fontId="5" fillId="2" borderId="1" xfId="1" applyNumberFormat="1" applyFont="1" applyFill="1" applyBorder="1" applyAlignment="1">
      <alignment vertical="center" wrapText="1"/>
    </xf>
    <xf numFmtId="0" fontId="2" fillId="0" borderId="0" xfId="0" applyFont="1" applyBorder="1"/>
    <xf numFmtId="165" fontId="4" fillId="2" borderId="0" xfId="0" applyNumberFormat="1" applyFont="1" applyFill="1"/>
    <xf numFmtId="164" fontId="2" fillId="0" borderId="0" xfId="0" applyNumberFormat="1" applyFont="1"/>
    <xf numFmtId="9" fontId="2" fillId="0" borderId="1" xfId="1" applyFont="1" applyBorder="1" applyAlignment="1">
      <alignment horizontal="center"/>
    </xf>
    <xf numFmtId="165" fontId="2" fillId="0" borderId="0" xfId="0" applyNumberFormat="1" applyFont="1"/>
    <xf numFmtId="165" fontId="4" fillId="2" borderId="1" xfId="0" applyNumberFormat="1" applyFont="1" applyFill="1" applyBorder="1"/>
    <xf numFmtId="0" fontId="2" fillId="0" borderId="1" xfId="0" applyFont="1" applyBorder="1" applyAlignment="1"/>
    <xf numFmtId="165" fontId="2" fillId="0" borderId="1" xfId="0" applyNumberFormat="1" applyFont="1" applyBorder="1" applyAlignment="1"/>
    <xf numFmtId="168" fontId="4" fillId="2" borderId="1" xfId="0" applyNumberFormat="1" applyFont="1" applyFill="1" applyBorder="1"/>
    <xf numFmtId="10" fontId="2" fillId="0" borderId="0" xfId="1" applyNumberFormat="1" applyFont="1"/>
    <xf numFmtId="165" fontId="2" fillId="0" borderId="1" xfId="0" applyNumberFormat="1" applyFont="1" applyBorder="1"/>
    <xf numFmtId="167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3" borderId="1" xfId="0" applyFont="1" applyFill="1" applyBorder="1"/>
    <xf numFmtId="165" fontId="5" fillId="2" borderId="1" xfId="0" applyNumberFormat="1" applyFont="1" applyFill="1" applyBorder="1"/>
    <xf numFmtId="164" fontId="4" fillId="2" borderId="1" xfId="1" applyNumberFormat="1" applyFont="1" applyFill="1" applyBorder="1" applyAlignment="1">
      <alignment vertical="center" wrapText="1"/>
    </xf>
    <xf numFmtId="9" fontId="4" fillId="2" borderId="2" xfId="1" applyFont="1" applyFill="1" applyBorder="1" applyAlignment="1">
      <alignment vertical="center" wrapText="1"/>
    </xf>
    <xf numFmtId="164" fontId="4" fillId="2" borderId="0" xfId="1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165" fontId="4" fillId="2" borderId="6" xfId="0" applyNumberFormat="1" applyFont="1" applyFill="1" applyBorder="1"/>
    <xf numFmtId="165" fontId="4" fillId="2" borderId="5" xfId="0" applyNumberFormat="1" applyFont="1" applyFill="1" applyBorder="1"/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6" fontId="4" fillId="2" borderId="1" xfId="0" applyNumberFormat="1" applyFont="1" applyFill="1" applyBorder="1"/>
    <xf numFmtId="165" fontId="4" fillId="2" borderId="2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/>
    <xf numFmtId="9" fontId="2" fillId="0" borderId="1" xfId="1" applyFont="1" applyBorder="1" applyAlignment="1"/>
    <xf numFmtId="0" fontId="2" fillId="3" borderId="0" xfId="0" applyFont="1" applyFill="1"/>
    <xf numFmtId="0" fontId="3" fillId="0" borderId="1" xfId="0" applyFont="1" applyBorder="1" applyAlignment="1">
      <alignment horizontal="center"/>
    </xf>
    <xf numFmtId="165" fontId="6" fillId="2" borderId="1" xfId="0" applyNumberFormat="1" applyFont="1" applyFill="1" applyBorder="1"/>
    <xf numFmtId="164" fontId="4" fillId="2" borderId="1" xfId="1" applyNumberFormat="1" applyFont="1" applyFill="1" applyBorder="1"/>
    <xf numFmtId="164" fontId="4" fillId="2" borderId="1" xfId="0" applyNumberFormat="1" applyFont="1" applyFill="1" applyBorder="1"/>
    <xf numFmtId="164" fontId="2" fillId="0" borderId="1" xfId="0" applyNumberFormat="1" applyFont="1" applyBorder="1"/>
    <xf numFmtId="165" fontId="2" fillId="4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0" fillId="0" borderId="1" xfId="0" applyBorder="1"/>
    <xf numFmtId="44" fontId="0" fillId="0" borderId="1" xfId="2" applyFont="1" applyBorder="1"/>
    <xf numFmtId="9" fontId="0" fillId="0" borderId="1" xfId="0" applyNumberForma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44" fontId="7" fillId="0" borderId="1" xfId="0" applyNumberFormat="1" applyFont="1" applyBorder="1"/>
    <xf numFmtId="170" fontId="7" fillId="0" borderId="1" xfId="2" applyNumberFormat="1" applyFont="1" applyBorder="1"/>
    <xf numFmtId="3" fontId="0" fillId="0" borderId="1" xfId="0" applyNumberFormat="1" applyBorder="1"/>
    <xf numFmtId="44" fontId="7" fillId="0" borderId="1" xfId="2" applyFont="1" applyBorder="1"/>
    <xf numFmtId="169" fontId="0" fillId="0" borderId="1" xfId="2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16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170" fontId="0" fillId="0" borderId="0" xfId="2" applyNumberFormat="1" applyFont="1"/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121920</xdr:rowOff>
    </xdr:to>
    <xdr:sp macro="" textlink="">
      <xdr:nvSpPr>
        <xdr:cNvPr id="1025" name="AutoShape 1" descr="blob:https://web.whatsapp.com/4bc31e3c-9180-4e04-8777-dace16108f18">
          <a:extLst>
            <a:ext uri="{FF2B5EF4-FFF2-40B4-BE49-F238E27FC236}">
              <a16:creationId xmlns="" xmlns:a16="http://schemas.microsoft.com/office/drawing/2014/main" id="{05995561-24F8-4E25-9A0C-2D287F8281AB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121920</xdr:rowOff>
    </xdr:to>
    <xdr:sp macro="" textlink="">
      <xdr:nvSpPr>
        <xdr:cNvPr id="1026" name="AutoShape 2" descr="blob:https://web.whatsapp.com/4bc31e3c-9180-4e04-8777-dace16108f18">
          <a:extLst>
            <a:ext uri="{FF2B5EF4-FFF2-40B4-BE49-F238E27FC236}">
              <a16:creationId xmlns="" xmlns:a16="http://schemas.microsoft.com/office/drawing/2014/main" id="{0B4DD9DF-719A-44D2-932F-FD9ABFFB11F2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139065</xdr:colOff>
      <xdr:row>22</xdr:row>
      <xdr:rowOff>100965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9DAF0CF1-689A-45E9-AF06-D4FBD4B2A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238625" cy="4124325"/>
        </a:xfrm>
        <a:prstGeom prst="rect">
          <a:avLst/>
        </a:prstGeom>
      </xdr:spPr>
    </xdr:pic>
    <xdr:clientData/>
  </xdr:twoCellAnchor>
  <xdr:twoCellAnchor editAs="oneCell">
    <xdr:from>
      <xdr:col>5</xdr:col>
      <xdr:colOff>541020</xdr:colOff>
      <xdr:row>3</xdr:row>
      <xdr:rowOff>53340</xdr:rowOff>
    </xdr:from>
    <xdr:to>
      <xdr:col>8</xdr:col>
      <xdr:colOff>678180</xdr:colOff>
      <xdr:row>29</xdr:row>
      <xdr:rowOff>60960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6164B43B-25CA-4004-AAFE-CC933A37B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3420" y="601980"/>
          <a:ext cx="2514600" cy="476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55"/>
  <sheetViews>
    <sheetView showGridLines="0" topLeftCell="A28" zoomScaleNormal="100" workbookViewId="0">
      <selection activeCell="M53" sqref="M53"/>
    </sheetView>
  </sheetViews>
  <sheetFormatPr baseColWidth="10" defaultColWidth="11.5703125" defaultRowHeight="12.75" x14ac:dyDescent="0.2"/>
  <cols>
    <col min="1" max="1" width="10.85546875" style="5" customWidth="1"/>
    <col min="2" max="2" width="25.7109375" style="5" bestFit="1" customWidth="1"/>
    <col min="3" max="3" width="12.42578125" style="18" bestFit="1" customWidth="1"/>
    <col min="4" max="4" width="13.140625" style="18" bestFit="1" customWidth="1"/>
    <col min="5" max="5" width="11.5703125" style="5"/>
    <col min="6" max="8" width="11.5703125" style="5" hidden="1" customWidth="1"/>
    <col min="9" max="12" width="0" style="5" hidden="1" customWidth="1"/>
    <col min="13" max="16384" width="11.5703125" style="5"/>
  </cols>
  <sheetData>
    <row r="1" spans="1:13" x14ac:dyDescent="0.2">
      <c r="A1" s="69" t="s">
        <v>11</v>
      </c>
      <c r="B1" s="69" t="s">
        <v>25</v>
      </c>
      <c r="C1" s="28" t="s">
        <v>55</v>
      </c>
      <c r="D1" s="28" t="s">
        <v>54</v>
      </c>
      <c r="E1" s="63" t="s">
        <v>58</v>
      </c>
      <c r="I1" s="46" t="s">
        <v>62</v>
      </c>
      <c r="J1" s="46" t="s">
        <v>64</v>
      </c>
      <c r="K1" s="46" t="s">
        <v>62</v>
      </c>
      <c r="L1" s="46" t="s">
        <v>64</v>
      </c>
      <c r="M1" s="52" t="s">
        <v>64</v>
      </c>
    </row>
    <row r="2" spans="1:13" x14ac:dyDescent="0.2">
      <c r="A2" s="63"/>
      <c r="B2" s="63"/>
      <c r="C2" s="29">
        <v>588315</v>
      </c>
      <c r="D2" s="29">
        <v>112060</v>
      </c>
      <c r="E2" s="64"/>
      <c r="G2" s="21">
        <v>0.01</v>
      </c>
      <c r="I2" s="29">
        <v>25320</v>
      </c>
      <c r="J2" s="29">
        <v>9240</v>
      </c>
      <c r="K2" s="29">
        <v>14430</v>
      </c>
      <c r="L2" s="29">
        <v>10710</v>
      </c>
      <c r="M2" s="29">
        <v>50000</v>
      </c>
    </row>
    <row r="3" spans="1:13" ht="4.1500000000000004" customHeight="1" x14ac:dyDescent="0.2">
      <c r="A3" s="6"/>
      <c r="B3" s="6"/>
      <c r="C3" s="7"/>
      <c r="D3" s="6"/>
      <c r="E3" s="30"/>
      <c r="I3" s="45"/>
      <c r="J3" s="45"/>
      <c r="K3" s="45"/>
      <c r="L3" s="45"/>
      <c r="M3" s="45"/>
    </row>
    <row r="4" spans="1:13" ht="13.15" x14ac:dyDescent="0.25">
      <c r="A4" s="8" t="s">
        <v>53</v>
      </c>
      <c r="B4" s="8" t="s">
        <v>52</v>
      </c>
      <c r="C4" s="9">
        <v>0.24</v>
      </c>
      <c r="D4" s="9">
        <v>0.24</v>
      </c>
      <c r="E4" s="9">
        <v>0.24</v>
      </c>
      <c r="F4" s="11"/>
      <c r="G4" s="11"/>
      <c r="H4" s="11"/>
      <c r="I4" s="27">
        <v>0.24</v>
      </c>
      <c r="J4" s="27">
        <v>0.24</v>
      </c>
      <c r="K4" s="27">
        <v>0.24</v>
      </c>
      <c r="L4" s="27">
        <v>0.24</v>
      </c>
      <c r="M4" s="27">
        <v>0.24</v>
      </c>
    </row>
    <row r="5" spans="1:13" x14ac:dyDescent="0.2">
      <c r="A5" s="8" t="s">
        <v>28</v>
      </c>
      <c r="B5" s="8" t="s">
        <v>51</v>
      </c>
      <c r="C5" s="9">
        <f>400/35000</f>
        <v>1.1428571428571429E-2</v>
      </c>
      <c r="D5" s="9">
        <f>400/35000</f>
        <v>1.1428571428571429E-2</v>
      </c>
      <c r="E5" s="27">
        <f t="shared" ref="E5:E28" si="0">AVERAGE(C5:D5)</f>
        <v>1.1428571428571429E-2</v>
      </c>
      <c r="F5" s="26">
        <f t="shared" ref="F5:F28" si="1">+E5/$E$29</f>
        <v>0.18795478843854282</v>
      </c>
      <c r="G5" s="19">
        <f t="shared" ref="G5:G28" si="2">-F5*$G$2</f>
        <v>-1.8795478843854282E-3</v>
      </c>
      <c r="H5" s="21">
        <f>+C5+G5</f>
        <v>9.5490235441860003E-3</v>
      </c>
      <c r="I5" s="51">
        <f>40/I2</f>
        <v>1.5797788309636651E-3</v>
      </c>
      <c r="J5" s="27">
        <f>40/J2</f>
        <v>4.329004329004329E-3</v>
      </c>
      <c r="K5" s="27">
        <f>40/K2</f>
        <v>2.772002772002772E-3</v>
      </c>
      <c r="L5" s="27">
        <f>40/L2</f>
        <v>3.7348272642390291E-3</v>
      </c>
      <c r="M5" s="27">
        <f>(50*1)/M2</f>
        <v>1E-3</v>
      </c>
    </row>
    <row r="6" spans="1:13" ht="13.15" x14ac:dyDescent="0.25">
      <c r="A6" s="8" t="s">
        <v>48</v>
      </c>
      <c r="B6" s="12" t="s">
        <v>50</v>
      </c>
      <c r="C6" s="16">
        <v>3.2000000000000002E-3</v>
      </c>
      <c r="D6" s="16">
        <v>3.2000000000000002E-3</v>
      </c>
      <c r="E6" s="27">
        <f t="shared" si="0"/>
        <v>3.2000000000000002E-3</v>
      </c>
      <c r="F6" s="26">
        <f t="shared" si="1"/>
        <v>5.2627340762791998E-2</v>
      </c>
      <c r="G6" s="19">
        <f t="shared" si="2"/>
        <v>-5.2627340762791998E-4</v>
      </c>
      <c r="H6" s="21">
        <f t="shared" ref="H6:H29" si="3">+C6+G6</f>
        <v>2.6737265923720802E-3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</row>
    <row r="7" spans="1:13" ht="13.15" x14ac:dyDescent="0.25">
      <c r="A7" s="8" t="s">
        <v>48</v>
      </c>
      <c r="B7" s="8" t="s">
        <v>49</v>
      </c>
      <c r="C7" s="9">
        <f>52/35000</f>
        <v>1.4857142857142857E-3</v>
      </c>
      <c r="D7" s="9">
        <f>52/35000</f>
        <v>1.4857142857142857E-3</v>
      </c>
      <c r="E7" s="27">
        <f t="shared" si="0"/>
        <v>1.4857142857142857E-3</v>
      </c>
      <c r="F7" s="26">
        <f t="shared" si="1"/>
        <v>2.4434122497010571E-2</v>
      </c>
      <c r="G7" s="19">
        <f t="shared" si="2"/>
        <v>-2.4434122497010572E-4</v>
      </c>
      <c r="H7" s="21">
        <f t="shared" si="3"/>
        <v>1.2413730607441801E-3</v>
      </c>
      <c r="I7" s="51">
        <f>78/I2</f>
        <v>3.0805687203791471E-3</v>
      </c>
      <c r="J7" s="27">
        <f>48/J2</f>
        <v>5.1948051948051948E-3</v>
      </c>
      <c r="K7" s="27">
        <f>52.5/K2</f>
        <v>3.6382536382536385E-3</v>
      </c>
      <c r="L7" s="27">
        <f>52.5/L2</f>
        <v>4.9019607843137254E-3</v>
      </c>
      <c r="M7" s="27">
        <f>(17.5+15+13)/M2</f>
        <v>9.1E-4</v>
      </c>
    </row>
    <row r="8" spans="1:13" x14ac:dyDescent="0.2">
      <c r="A8" s="8" t="s">
        <v>48</v>
      </c>
      <c r="B8" s="8" t="s">
        <v>66</v>
      </c>
      <c r="C8" s="9">
        <f>109.5/35000</f>
        <v>3.1285714285714285E-3</v>
      </c>
      <c r="D8" s="9">
        <f>109.5/35000</f>
        <v>3.1285714285714285E-3</v>
      </c>
      <c r="E8" s="27">
        <f t="shared" si="0"/>
        <v>3.1285714285714285E-3</v>
      </c>
      <c r="F8" s="26">
        <f t="shared" si="1"/>
        <v>5.1452623335051101E-2</v>
      </c>
      <c r="G8" s="19">
        <f t="shared" si="2"/>
        <v>-5.1452623335051097E-4</v>
      </c>
      <c r="H8" s="21">
        <f t="shared" si="3"/>
        <v>2.6140451952209173E-3</v>
      </c>
      <c r="I8" s="9">
        <v>8.8537200000000007E-3</v>
      </c>
      <c r="J8" s="9">
        <v>8.8537200000000007E-3</v>
      </c>
      <c r="K8" s="9">
        <v>1.2171224703305325E-2</v>
      </c>
      <c r="L8" s="9">
        <v>1.2171224703305325E-2</v>
      </c>
      <c r="M8" s="9">
        <v>6.0396E-3</v>
      </c>
    </row>
    <row r="9" spans="1:13" ht="13.15" x14ac:dyDescent="0.25">
      <c r="A9" s="8" t="s">
        <v>6</v>
      </c>
      <c r="B9" s="12" t="s">
        <v>47</v>
      </c>
      <c r="C9" s="16">
        <v>3.5999999999999999E-3</v>
      </c>
      <c r="D9" s="16">
        <v>3.5999999999999999E-3</v>
      </c>
      <c r="E9" s="27">
        <f t="shared" si="0"/>
        <v>3.5999999999999999E-3</v>
      </c>
      <c r="F9" s="26">
        <f t="shared" si="1"/>
        <v>5.9205758358140993E-2</v>
      </c>
      <c r="G9" s="19">
        <f t="shared" si="2"/>
        <v>-5.9205758358140998E-4</v>
      </c>
      <c r="H9" s="21">
        <f t="shared" si="3"/>
        <v>3.0079424164185901E-3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</row>
    <row r="10" spans="1:13" ht="13.15" x14ac:dyDescent="0.25">
      <c r="A10" s="8" t="s">
        <v>6</v>
      </c>
      <c r="B10" s="12" t="s">
        <v>46</v>
      </c>
      <c r="C10" s="16">
        <v>1.1999999999999999E-3</v>
      </c>
      <c r="D10" s="16">
        <v>1.1999999999999999E-3</v>
      </c>
      <c r="E10" s="27">
        <f t="shared" si="0"/>
        <v>1.1999999999999999E-3</v>
      </c>
      <c r="F10" s="26">
        <f t="shared" si="1"/>
        <v>1.9735252786046997E-2</v>
      </c>
      <c r="G10" s="19">
        <f t="shared" si="2"/>
        <v>-1.9735252786046996E-4</v>
      </c>
      <c r="H10" s="21">
        <f t="shared" si="3"/>
        <v>1.0026474721395299E-3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</row>
    <row r="11" spans="1:13" s="15" customFormat="1" ht="25.5" x14ac:dyDescent="0.2">
      <c r="A11" s="13" t="s">
        <v>22</v>
      </c>
      <c r="B11" s="14" t="s">
        <v>45</v>
      </c>
      <c r="C11" s="9">
        <f>275/35000</f>
        <v>7.8571428571428577E-3</v>
      </c>
      <c r="D11" s="9">
        <f>400/35000</f>
        <v>1.1428571428571429E-2</v>
      </c>
      <c r="E11" s="27">
        <f t="shared" si="0"/>
        <v>9.642857142857144E-3</v>
      </c>
      <c r="F11" s="26">
        <f t="shared" si="1"/>
        <v>0.15858685274502055</v>
      </c>
      <c r="G11" s="19">
        <f t="shared" si="2"/>
        <v>-1.5858685274502055E-3</v>
      </c>
      <c r="H11" s="21">
        <f t="shared" si="3"/>
        <v>6.2712743296926519E-3</v>
      </c>
      <c r="I11" s="47">
        <f>275/I2</f>
        <v>1.0860979462875198E-2</v>
      </c>
      <c r="J11" s="47">
        <f>150/J2</f>
        <v>1.6233766233766232E-2</v>
      </c>
      <c r="K11" s="47">
        <f>150/K2</f>
        <v>1.0395010395010396E-2</v>
      </c>
      <c r="L11" s="47">
        <f>150/L2</f>
        <v>1.4005602240896359E-2</v>
      </c>
      <c r="M11" s="47">
        <f>275/M2</f>
        <v>5.4999999999999997E-3</v>
      </c>
    </row>
    <row r="12" spans="1:13" x14ac:dyDescent="0.2">
      <c r="A12" s="8" t="s">
        <v>44</v>
      </c>
      <c r="B12" s="8" t="s">
        <v>43</v>
      </c>
      <c r="C12" s="9">
        <f>300/35000</f>
        <v>8.5714285714285719E-3</v>
      </c>
      <c r="D12" s="9">
        <f>300/35000</f>
        <v>8.5714285714285719E-3</v>
      </c>
      <c r="E12" s="27">
        <f t="shared" si="0"/>
        <v>8.5714285714285719E-3</v>
      </c>
      <c r="F12" s="26">
        <f t="shared" si="1"/>
        <v>0.14096609132890714</v>
      </c>
      <c r="G12" s="19">
        <f t="shared" si="2"/>
        <v>-1.4096609132890714E-3</v>
      </c>
      <c r="H12" s="21">
        <f t="shared" si="3"/>
        <v>7.1617676581395007E-3</v>
      </c>
      <c r="I12" s="51">
        <f>40/I2</f>
        <v>1.5797788309636651E-3</v>
      </c>
      <c r="J12" s="27">
        <v>0</v>
      </c>
      <c r="K12" s="51">
        <f>20/K2</f>
        <v>1.386001386001386E-3</v>
      </c>
      <c r="L12" s="51">
        <f>20/L2</f>
        <v>1.8674136321195146E-3</v>
      </c>
      <c r="M12" s="51">
        <f>20/M2</f>
        <v>4.0000000000000002E-4</v>
      </c>
    </row>
    <row r="13" spans="1:13" ht="13.15" x14ac:dyDescent="0.25">
      <c r="A13" s="8" t="s">
        <v>6</v>
      </c>
      <c r="B13" s="12" t="s">
        <v>42</v>
      </c>
      <c r="C13" s="16">
        <v>3.0999999999999999E-3</v>
      </c>
      <c r="D13" s="16">
        <v>3.0999999999999999E-3</v>
      </c>
      <c r="E13" s="27">
        <f t="shared" si="0"/>
        <v>3.0999999999999999E-3</v>
      </c>
      <c r="F13" s="26">
        <f t="shared" si="1"/>
        <v>5.0982736363954742E-2</v>
      </c>
      <c r="G13" s="19">
        <f t="shared" si="2"/>
        <v>-5.0982736363954742E-4</v>
      </c>
      <c r="H13" s="21">
        <f t="shared" si="3"/>
        <v>2.5901726363604526E-3</v>
      </c>
      <c r="I13" s="51">
        <f>26/I2</f>
        <v>1.0268562401263824E-3</v>
      </c>
      <c r="J13" s="27">
        <f>26/J2</f>
        <v>2.8138528138528141E-3</v>
      </c>
      <c r="K13" s="27">
        <f>26/K2</f>
        <v>1.8018018018018018E-3</v>
      </c>
      <c r="L13" s="27">
        <f>26/L2</f>
        <v>2.4276377217553689E-3</v>
      </c>
      <c r="M13" s="27">
        <f>26/M2</f>
        <v>5.1999999999999995E-4</v>
      </c>
    </row>
    <row r="14" spans="1:13" ht="13.15" x14ac:dyDescent="0.25">
      <c r="A14" s="8" t="s">
        <v>23</v>
      </c>
      <c r="B14" s="12" t="s">
        <v>41</v>
      </c>
      <c r="C14" s="16">
        <v>2.0000000000000001E-4</v>
      </c>
      <c r="D14" s="16">
        <v>2.0000000000000001E-4</v>
      </c>
      <c r="E14" s="27">
        <f t="shared" si="0"/>
        <v>2.0000000000000001E-4</v>
      </c>
      <c r="F14" s="26">
        <f t="shared" si="1"/>
        <v>3.2892087976744999E-3</v>
      </c>
      <c r="G14" s="19">
        <f t="shared" si="2"/>
        <v>-3.2892087976744999E-5</v>
      </c>
      <c r="H14" s="21">
        <f t="shared" si="3"/>
        <v>1.6710791202325501E-4</v>
      </c>
      <c r="I14" s="27">
        <f t="shared" ref="I14:M26" si="4">+E14</f>
        <v>2.0000000000000001E-4</v>
      </c>
      <c r="J14" s="27">
        <f t="shared" si="4"/>
        <v>3.2892087976744999E-3</v>
      </c>
      <c r="K14" s="27">
        <f>+F14</f>
        <v>3.2892087976744999E-3</v>
      </c>
      <c r="L14" s="27">
        <f>+F14</f>
        <v>3.2892087976744999E-3</v>
      </c>
      <c r="M14" s="27">
        <f>+G14</f>
        <v>-3.2892087976744999E-5</v>
      </c>
    </row>
    <row r="15" spans="1:13" ht="13.15" x14ac:dyDescent="0.25">
      <c r="A15" s="8" t="s">
        <v>23</v>
      </c>
      <c r="B15" s="8" t="s">
        <v>40</v>
      </c>
      <c r="C15" s="9">
        <v>4.5375348796050945E-4</v>
      </c>
      <c r="D15" s="9"/>
      <c r="E15" s="27">
        <f t="shared" si="0"/>
        <v>4.5375348796050945E-4</v>
      </c>
      <c r="F15" s="26">
        <f t="shared" si="1"/>
        <v>7.462449822875989E-3</v>
      </c>
      <c r="G15" s="19">
        <f t="shared" si="2"/>
        <v>-7.4624498228759894E-5</v>
      </c>
      <c r="H15" s="21">
        <f t="shared" si="3"/>
        <v>3.7912898973174953E-4</v>
      </c>
      <c r="I15" s="27">
        <f t="shared" si="4"/>
        <v>4.5375348796050945E-4</v>
      </c>
      <c r="J15" s="27">
        <f>+E15</f>
        <v>4.5375348796050945E-4</v>
      </c>
      <c r="K15" s="27">
        <f>+E15</f>
        <v>4.5375348796050945E-4</v>
      </c>
      <c r="L15" s="27">
        <f>+E15</f>
        <v>4.5375348796050945E-4</v>
      </c>
      <c r="M15" s="27">
        <f>+E15</f>
        <v>4.5375348796050945E-4</v>
      </c>
    </row>
    <row r="16" spans="1:13" ht="13.15" x14ac:dyDescent="0.25">
      <c r="A16" s="8" t="s">
        <v>28</v>
      </c>
      <c r="B16" s="8" t="s">
        <v>39</v>
      </c>
      <c r="C16" s="9">
        <v>0</v>
      </c>
      <c r="D16" s="9">
        <v>0</v>
      </c>
      <c r="E16" s="27">
        <f t="shared" si="0"/>
        <v>0</v>
      </c>
      <c r="F16" s="26">
        <f t="shared" si="1"/>
        <v>0</v>
      </c>
      <c r="G16" s="19">
        <f t="shared" si="2"/>
        <v>0</v>
      </c>
      <c r="H16" s="21">
        <f t="shared" si="3"/>
        <v>0</v>
      </c>
      <c r="I16" s="27">
        <f t="shared" si="4"/>
        <v>0</v>
      </c>
      <c r="J16" s="27">
        <f>+E16</f>
        <v>0</v>
      </c>
      <c r="K16" s="27">
        <f>+F16</f>
        <v>0</v>
      </c>
      <c r="L16" s="27">
        <f>+G16</f>
        <v>0</v>
      </c>
      <c r="M16" s="27">
        <f>+H16</f>
        <v>0</v>
      </c>
    </row>
    <row r="17" spans="1:13" x14ac:dyDescent="0.2">
      <c r="A17" s="8" t="s">
        <v>28</v>
      </c>
      <c r="B17" s="8" t="s">
        <v>38</v>
      </c>
      <c r="C17" s="9">
        <f>25/35000</f>
        <v>7.1428571428571429E-4</v>
      </c>
      <c r="D17" s="9">
        <f>50/35000</f>
        <v>1.4285714285714286E-3</v>
      </c>
      <c r="E17" s="27">
        <f t="shared" si="0"/>
        <v>1.0714285714285715E-3</v>
      </c>
      <c r="F17" s="26">
        <f t="shared" si="1"/>
        <v>1.7620761416113392E-2</v>
      </c>
      <c r="G17" s="19">
        <f t="shared" si="2"/>
        <v>-1.7620761416113393E-4</v>
      </c>
      <c r="H17" s="21">
        <f t="shared" si="3"/>
        <v>5.3807810012458039E-4</v>
      </c>
      <c r="I17" s="51">
        <f>(37.5+15.5)/I2</f>
        <v>2.093206951026856E-3</v>
      </c>
      <c r="J17" s="27">
        <f>15/J2</f>
        <v>1.6233766233766235E-3</v>
      </c>
      <c r="K17" s="27">
        <f>15/K2</f>
        <v>1.0395010395010396E-3</v>
      </c>
      <c r="L17" s="27">
        <f>20/L2</f>
        <v>1.8674136321195146E-3</v>
      </c>
      <c r="M17" s="27">
        <f>20/M2</f>
        <v>4.0000000000000002E-4</v>
      </c>
    </row>
    <row r="18" spans="1:13" ht="13.15" x14ac:dyDescent="0.25">
      <c r="A18" s="8" t="s">
        <v>28</v>
      </c>
      <c r="B18" s="8" t="s">
        <v>37</v>
      </c>
      <c r="C18" s="9">
        <v>0</v>
      </c>
      <c r="D18" s="9">
        <v>0</v>
      </c>
      <c r="E18" s="27">
        <f t="shared" si="0"/>
        <v>0</v>
      </c>
      <c r="F18" s="26">
        <f t="shared" si="1"/>
        <v>0</v>
      </c>
      <c r="G18" s="19">
        <f t="shared" si="2"/>
        <v>0</v>
      </c>
      <c r="H18" s="21">
        <f t="shared" si="3"/>
        <v>0</v>
      </c>
      <c r="I18" s="27">
        <f t="shared" si="4"/>
        <v>0</v>
      </c>
      <c r="J18" s="27">
        <f t="shared" si="4"/>
        <v>0</v>
      </c>
      <c r="K18" s="27">
        <f t="shared" si="4"/>
        <v>0</v>
      </c>
      <c r="L18" s="27">
        <f t="shared" si="4"/>
        <v>0</v>
      </c>
      <c r="M18" s="27">
        <f t="shared" si="4"/>
        <v>0</v>
      </c>
    </row>
    <row r="19" spans="1:13" ht="13.15" x14ac:dyDescent="0.25">
      <c r="A19" s="8" t="s">
        <v>28</v>
      </c>
      <c r="B19" s="8" t="s">
        <v>36</v>
      </c>
      <c r="C19" s="9">
        <f>2.5/35000</f>
        <v>7.1428571428571434E-5</v>
      </c>
      <c r="D19" s="9">
        <f>2.5/35000</f>
        <v>7.1428571428571434E-5</v>
      </c>
      <c r="E19" s="27">
        <f t="shared" si="0"/>
        <v>7.1428571428571434E-5</v>
      </c>
      <c r="F19" s="26">
        <f t="shared" si="1"/>
        <v>1.1747174277408929E-3</v>
      </c>
      <c r="G19" s="19">
        <f t="shared" si="2"/>
        <v>-1.1747174277408929E-5</v>
      </c>
      <c r="H19" s="21">
        <f t="shared" si="3"/>
        <v>5.9681397151162502E-5</v>
      </c>
      <c r="I19" s="51">
        <f>6/I2</f>
        <v>2.3696682464454977E-4</v>
      </c>
      <c r="J19" s="27">
        <f>2/J2</f>
        <v>2.1645021645021645E-4</v>
      </c>
      <c r="K19" s="27">
        <f>2/K2</f>
        <v>1.3860013860013859E-4</v>
      </c>
      <c r="L19" s="27">
        <f>2/L2</f>
        <v>1.8674136321195143E-4</v>
      </c>
      <c r="M19" s="27">
        <f>2.5/M2</f>
        <v>5.0000000000000002E-5</v>
      </c>
    </row>
    <row r="20" spans="1:13" ht="13.15" x14ac:dyDescent="0.25">
      <c r="A20" s="8" t="s">
        <v>28</v>
      </c>
      <c r="B20" s="12" t="s">
        <v>35</v>
      </c>
      <c r="C20" s="16">
        <v>1E-4</v>
      </c>
      <c r="D20" s="16">
        <v>1E-4</v>
      </c>
      <c r="E20" s="27">
        <f t="shared" si="0"/>
        <v>1E-4</v>
      </c>
      <c r="F20" s="26">
        <f t="shared" si="1"/>
        <v>1.6446043988372499E-3</v>
      </c>
      <c r="G20" s="19">
        <f t="shared" si="2"/>
        <v>-1.6446043988372499E-5</v>
      </c>
      <c r="H20" s="21">
        <f t="shared" si="3"/>
        <v>8.3553956011627505E-5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</row>
    <row r="21" spans="1:13" ht="13.15" x14ac:dyDescent="0.25">
      <c r="A21" s="8" t="s">
        <v>28</v>
      </c>
      <c r="B21" s="8" t="s">
        <v>34</v>
      </c>
      <c r="C21" s="9">
        <v>0</v>
      </c>
      <c r="D21" s="9">
        <v>0</v>
      </c>
      <c r="E21" s="27">
        <f t="shared" si="0"/>
        <v>0</v>
      </c>
      <c r="F21" s="26">
        <f t="shared" si="1"/>
        <v>0</v>
      </c>
      <c r="G21" s="19">
        <f t="shared" si="2"/>
        <v>0</v>
      </c>
      <c r="H21" s="21">
        <f t="shared" si="3"/>
        <v>0</v>
      </c>
      <c r="I21" s="27">
        <f t="shared" si="4"/>
        <v>0</v>
      </c>
      <c r="J21" s="27">
        <f t="shared" si="4"/>
        <v>0</v>
      </c>
      <c r="K21" s="27">
        <f t="shared" si="4"/>
        <v>0</v>
      </c>
      <c r="L21" s="27">
        <f t="shared" si="4"/>
        <v>0</v>
      </c>
      <c r="M21" s="27">
        <f t="shared" si="4"/>
        <v>0</v>
      </c>
    </row>
    <row r="22" spans="1:13" ht="13.15" x14ac:dyDescent="0.25">
      <c r="A22" s="8" t="s">
        <v>6</v>
      </c>
      <c r="B22" s="12" t="s">
        <v>33</v>
      </c>
      <c r="C22" s="16">
        <v>2.8999999999999998E-3</v>
      </c>
      <c r="D22" s="16">
        <v>2.8999999999999998E-3</v>
      </c>
      <c r="E22" s="27">
        <f t="shared" si="0"/>
        <v>2.8999999999999998E-3</v>
      </c>
      <c r="F22" s="26">
        <f t="shared" si="1"/>
        <v>4.7693527566280244E-2</v>
      </c>
      <c r="G22" s="19">
        <f t="shared" si="2"/>
        <v>-4.7693527566280248E-4</v>
      </c>
      <c r="H22" s="21">
        <f t="shared" si="3"/>
        <v>2.4230647243371974E-3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</row>
    <row r="23" spans="1:13" ht="13.15" x14ac:dyDescent="0.25">
      <c r="A23" s="8" t="s">
        <v>28</v>
      </c>
      <c r="B23" s="8" t="s">
        <v>32</v>
      </c>
      <c r="C23" s="9">
        <f>40/35000</f>
        <v>1.1428571428571429E-3</v>
      </c>
      <c r="D23" s="9">
        <f>40/35000</f>
        <v>1.1428571428571429E-3</v>
      </c>
      <c r="E23" s="27">
        <f t="shared" si="0"/>
        <v>1.1428571428571429E-3</v>
      </c>
      <c r="F23" s="26">
        <f t="shared" si="1"/>
        <v>1.8795478843854286E-2</v>
      </c>
      <c r="G23" s="19">
        <f t="shared" si="2"/>
        <v>-1.8795478843854286E-4</v>
      </c>
      <c r="H23" s="21">
        <f t="shared" si="3"/>
        <v>9.5490235441860003E-4</v>
      </c>
      <c r="I23" s="51">
        <f>50/I2</f>
        <v>1.9747235387045812E-3</v>
      </c>
      <c r="J23" s="27">
        <v>0</v>
      </c>
      <c r="K23" s="27">
        <v>0</v>
      </c>
      <c r="L23" s="27">
        <v>0</v>
      </c>
      <c r="M23" s="27">
        <v>0</v>
      </c>
    </row>
    <row r="24" spans="1:13" x14ac:dyDescent="0.2">
      <c r="A24" s="8" t="s">
        <v>28</v>
      </c>
      <c r="B24" s="8" t="s">
        <v>31</v>
      </c>
      <c r="C24" s="9">
        <v>0</v>
      </c>
      <c r="D24" s="9">
        <v>0</v>
      </c>
      <c r="E24" s="27">
        <f t="shared" si="0"/>
        <v>0</v>
      </c>
      <c r="F24" s="26">
        <f t="shared" si="1"/>
        <v>0</v>
      </c>
      <c r="G24" s="19">
        <f t="shared" si="2"/>
        <v>0</v>
      </c>
      <c r="H24" s="21">
        <f t="shared" si="3"/>
        <v>0</v>
      </c>
      <c r="I24" s="27">
        <f t="shared" si="4"/>
        <v>0</v>
      </c>
      <c r="J24" s="27">
        <f>+E24</f>
        <v>0</v>
      </c>
      <c r="K24" s="27">
        <f>+F24</f>
        <v>0</v>
      </c>
      <c r="L24" s="27">
        <f>+G24</f>
        <v>0</v>
      </c>
      <c r="M24" s="27">
        <f>+H24</f>
        <v>0</v>
      </c>
    </row>
    <row r="25" spans="1:13" x14ac:dyDescent="0.2">
      <c r="A25" s="8" t="s">
        <v>28</v>
      </c>
      <c r="B25" s="8" t="s">
        <v>30</v>
      </c>
      <c r="C25" s="9">
        <f>50/35000</f>
        <v>1.4285714285714286E-3</v>
      </c>
      <c r="D25" s="9">
        <f>50/35000</f>
        <v>1.4285714285714286E-3</v>
      </c>
      <c r="E25" s="27">
        <f t="shared" si="0"/>
        <v>1.4285714285714286E-3</v>
      </c>
      <c r="F25" s="26">
        <f t="shared" si="1"/>
        <v>2.3494348554817853E-2</v>
      </c>
      <c r="G25" s="19">
        <f t="shared" si="2"/>
        <v>-2.3494348554817853E-4</v>
      </c>
      <c r="H25" s="21">
        <f t="shared" si="3"/>
        <v>1.19362794302325E-3</v>
      </c>
      <c r="I25" s="27">
        <f>50/I2</f>
        <v>1.9747235387045812E-3</v>
      </c>
      <c r="J25" s="27">
        <f>50/J2</f>
        <v>5.411255411255411E-3</v>
      </c>
      <c r="K25" s="27">
        <f>50/K2</f>
        <v>3.4650034650034649E-3</v>
      </c>
      <c r="L25" s="27">
        <f>50/L2</f>
        <v>4.6685340802987861E-3</v>
      </c>
      <c r="M25" s="27">
        <f>50/M2</f>
        <v>1E-3</v>
      </c>
    </row>
    <row r="26" spans="1:13" ht="13.15" x14ac:dyDescent="0.25">
      <c r="A26" s="8" t="s">
        <v>28</v>
      </c>
      <c r="B26" s="12" t="s">
        <v>29</v>
      </c>
      <c r="C26" s="31">
        <v>1.6000000000000001E-3</v>
      </c>
      <c r="D26" s="31">
        <v>1.6000000000000001E-3</v>
      </c>
      <c r="E26" s="27">
        <f t="shared" si="0"/>
        <v>1.6000000000000001E-3</v>
      </c>
      <c r="F26" s="26">
        <f t="shared" si="1"/>
        <v>2.6313670381395999E-2</v>
      </c>
      <c r="G26" s="19">
        <f t="shared" si="2"/>
        <v>-2.6313670381395999E-4</v>
      </c>
      <c r="H26" s="21">
        <f t="shared" si="3"/>
        <v>1.3368632961860401E-3</v>
      </c>
      <c r="I26" s="27">
        <f t="shared" si="4"/>
        <v>1.6000000000000001E-3</v>
      </c>
      <c r="J26" s="27">
        <v>0</v>
      </c>
      <c r="K26" s="27">
        <v>0</v>
      </c>
      <c r="L26" s="27">
        <v>0</v>
      </c>
      <c r="M26" s="27">
        <v>0</v>
      </c>
    </row>
    <row r="27" spans="1:13" ht="13.15" x14ac:dyDescent="0.25">
      <c r="A27" s="8" t="s">
        <v>28</v>
      </c>
      <c r="B27" s="12" t="s">
        <v>65</v>
      </c>
      <c r="C27" s="31">
        <v>3.7000000000000002E-3</v>
      </c>
      <c r="D27" s="31">
        <v>3.7000000000000002E-3</v>
      </c>
      <c r="E27" s="27">
        <f t="shared" si="0"/>
        <v>3.7000000000000002E-3</v>
      </c>
      <c r="F27" s="26">
        <f t="shared" si="1"/>
        <v>6.0850362756978249E-2</v>
      </c>
      <c r="G27" s="19">
        <f t="shared" si="2"/>
        <v>-6.0850362756978253E-4</v>
      </c>
      <c r="H27" s="21">
        <f t="shared" si="3"/>
        <v>3.0914963724302177E-3</v>
      </c>
      <c r="I27" s="27">
        <f>50.4/I2</f>
        <v>1.9905213270142181E-3</v>
      </c>
      <c r="J27" s="27">
        <f>0/J2</f>
        <v>0</v>
      </c>
      <c r="K27" s="27">
        <f>0/K2</f>
        <v>0</v>
      </c>
      <c r="L27" s="27">
        <f>0/L2</f>
        <v>0</v>
      </c>
      <c r="M27" s="27">
        <f>0/M2</f>
        <v>0</v>
      </c>
    </row>
    <row r="28" spans="1:13" ht="13.15" x14ac:dyDescent="0.25">
      <c r="A28" s="8" t="s">
        <v>28</v>
      </c>
      <c r="B28" s="8" t="s">
        <v>27</v>
      </c>
      <c r="C28" s="9">
        <f>96.54/35000</f>
        <v>2.7582857142857144E-3</v>
      </c>
      <c r="D28" s="9">
        <f>98.04/35000</f>
        <v>2.8011428571428575E-3</v>
      </c>
      <c r="E28" s="27">
        <f t="shared" si="0"/>
        <v>2.779714285714286E-3</v>
      </c>
      <c r="F28" s="26">
        <f t="shared" si="1"/>
        <v>4.5715303417964585E-2</v>
      </c>
      <c r="G28" s="19">
        <f t="shared" si="2"/>
        <v>-4.5715303417964584E-4</v>
      </c>
      <c r="H28" s="21">
        <f t="shared" si="3"/>
        <v>2.3011326801060687E-3</v>
      </c>
      <c r="I28" s="9">
        <f>96.54/I2</f>
        <v>3.8127962085308061E-3</v>
      </c>
      <c r="J28" s="9">
        <f>96.54/J2</f>
        <v>1.0448051948051949E-2</v>
      </c>
      <c r="K28" s="9">
        <f>96.54/K2</f>
        <v>6.6902286902286905E-3</v>
      </c>
      <c r="L28" s="9">
        <f>96.54/L2</f>
        <v>9.0140056022408963E-3</v>
      </c>
      <c r="M28" s="9">
        <f>96.54/M2</f>
        <v>1.9308000000000001E-3</v>
      </c>
    </row>
    <row r="29" spans="1:13" x14ac:dyDescent="0.2">
      <c r="A29" s="67" t="s">
        <v>10</v>
      </c>
      <c r="B29" s="67"/>
      <c r="C29" s="32">
        <f>+C5+C6+C7+C8+C9+C10+C11+C12+C13+C14+C15+C16+C17+C18+C19+C20+C21+C22+C23+C24+C25+C26+C27+C28</f>
        <v>5.8640610630817644E-2</v>
      </c>
      <c r="D29" s="32">
        <f>+D5+D6+D7+D8+D9+D10+D11+D12+D13+D14+D15+D16+D17+D18+D19+D20+D21+D22+D23+D24+D25+D26+D27+D28</f>
        <v>6.2515428571428569E-2</v>
      </c>
      <c r="E29" s="32">
        <f>+E5+E6+E7+E8+E9+E10+E11+E12+E13+E14+E15+E16+E17+E18+E19+E20+E21+E22+E23+E24+E25+E26+E27+E28</f>
        <v>6.080489634510336E-2</v>
      </c>
      <c r="F29" s="33">
        <f>+F5+F6+F7+F8+F9+F10+F11+F12+F13+F14+F15+F16+F17+F18+F19+F20+F21+F22+F23+F24+F25+F26+F27+F28</f>
        <v>1</v>
      </c>
      <c r="G29" s="32">
        <f>+G5+G6+G7+G8+G9+G10+G11+G12+G13+G14+G15+G16+G17+G18+G19+G20+G21+G22+G23+G24+G25+G26+G27+G28</f>
        <v>-9.9999999999999985E-3</v>
      </c>
      <c r="H29" s="21">
        <f t="shared" si="3"/>
        <v>4.8640610630817649E-2</v>
      </c>
      <c r="I29" s="32">
        <f>+I5+I6+I7+I8+I9+I10+I11+I12+I13+I14+I15+I16+I17+I18+I19+I20+I21+I22+I23+I24+I25+I26+I27+I28</f>
        <v>4.1318373961894153E-2</v>
      </c>
      <c r="J29" s="32">
        <f>+J5+J6+J7+J8+J9+J10+J11+J12+J13+J14+J15+J16+J17+J18+J19+J20+J21+J22+J23+J24+J25+J26+J27+J28</f>
        <v>5.8867245056197781E-2</v>
      </c>
      <c r="K29" s="32">
        <f>+K5+K6+K7+K8+K9+K10+K11+K12+K13+K14+K15+K16+K17+K18+K19+K20+K21+K22+K23+K24+K25+K26+K27+K28</f>
        <v>4.724059031534366E-2</v>
      </c>
      <c r="L29" s="32">
        <f>+L5+L6+L7+L8+L9+L10+L11+L12+L13+L14+L15+L16+L17+L18+L19+L20+L21+L22+L23+L24+L25+L26+L27+L28</f>
        <v>5.8588323310135471E-2</v>
      </c>
      <c r="M29" s="32">
        <f>+M5+M6+M7+M8+M9+M10+M11+M12+M13+M14+M15+M16+M17+M18+M19+M20+M21+M22+M23+M24+M25+M26+M27+M28</f>
        <v>1.8171261399983762E-2</v>
      </c>
    </row>
    <row r="30" spans="1:13" ht="13.15" x14ac:dyDescent="0.25">
      <c r="A30" s="17"/>
      <c r="B30" s="17"/>
      <c r="C30" s="34"/>
      <c r="D30" s="34"/>
      <c r="E30" s="11"/>
      <c r="F30" s="11"/>
      <c r="G30" s="19"/>
      <c r="H30" s="21"/>
      <c r="I30" s="11"/>
      <c r="J30" s="11"/>
      <c r="K30" s="11"/>
      <c r="L30" s="11"/>
      <c r="M30" s="11"/>
    </row>
    <row r="31" spans="1:13" ht="13.15" x14ac:dyDescent="0.25">
      <c r="E31" s="11"/>
      <c r="F31" s="11"/>
      <c r="G31" s="11"/>
      <c r="H31" s="11"/>
      <c r="I31" s="11"/>
      <c r="J31" s="11"/>
      <c r="K31" s="11"/>
      <c r="L31" s="11"/>
      <c r="M31" s="11"/>
    </row>
    <row r="32" spans="1:13" x14ac:dyDescent="0.2">
      <c r="A32" s="35" t="s">
        <v>26</v>
      </c>
      <c r="B32" s="35" t="s">
        <v>25</v>
      </c>
      <c r="C32" s="35" t="s">
        <v>55</v>
      </c>
      <c r="D32" s="35" t="s">
        <v>54</v>
      </c>
      <c r="E32" s="10" t="s">
        <v>63</v>
      </c>
      <c r="F32" s="11"/>
      <c r="G32" s="11"/>
      <c r="H32" s="11"/>
      <c r="I32" s="10" t="s">
        <v>2</v>
      </c>
      <c r="J32" s="10" t="s">
        <v>2</v>
      </c>
      <c r="K32" s="10" t="s">
        <v>2</v>
      </c>
      <c r="L32" s="10" t="s">
        <v>2</v>
      </c>
      <c r="M32" s="10" t="s">
        <v>2</v>
      </c>
    </row>
    <row r="33" spans="1:13" x14ac:dyDescent="0.2">
      <c r="A33" s="20">
        <f>+C33/$C$40</f>
        <v>0.80364153921681569</v>
      </c>
      <c r="B33" s="8" t="s">
        <v>3</v>
      </c>
      <c r="C33" s="22">
        <f>+C4</f>
        <v>0.24</v>
      </c>
      <c r="D33" s="22">
        <f>+D4</f>
        <v>0.24</v>
      </c>
      <c r="E33" s="27">
        <v>0.24</v>
      </c>
      <c r="F33" s="11"/>
      <c r="G33" s="11"/>
      <c r="H33" s="11"/>
      <c r="I33" s="27">
        <f>+E33</f>
        <v>0.24</v>
      </c>
      <c r="J33" s="27">
        <v>0.24</v>
      </c>
      <c r="K33" s="27">
        <v>0.24</v>
      </c>
      <c r="L33" s="27">
        <v>0.24</v>
      </c>
      <c r="M33" s="27">
        <v>0.24</v>
      </c>
    </row>
    <row r="34" spans="1:13" x14ac:dyDescent="0.2">
      <c r="A34" s="20">
        <f t="shared" ref="A34:A39" si="5">+C34/$C$40</f>
        <v>7.6828131149127579E-2</v>
      </c>
      <c r="B34" s="8" t="s">
        <v>20</v>
      </c>
      <c r="C34" s="22">
        <f>+C5+C16+C17+C18+C19+C20+C21+C23+C24+C25+C26+C27+C28</f>
        <v>2.2943999999999999E-2</v>
      </c>
      <c r="D34" s="22">
        <f>+D5+D16+D17+D18+D19+D20+D21+D23+D24+D25+D26+D27+D28</f>
        <v>2.3701142857142858E-2</v>
      </c>
      <c r="E34" s="27">
        <f>+H5+H16+H17+H18+H19+H20+H21+H23+H24+H25+H26+H27+H28</f>
        <v>1.9108359643637548E-2</v>
      </c>
      <c r="F34" s="11"/>
      <c r="G34" s="11"/>
      <c r="H34" s="11"/>
      <c r="I34" s="27">
        <f>+I5+I16+I17+I18+I19+I20+I21+I23+I24+I25+I26+I27+I28</f>
        <v>1.5262717219589259E-2</v>
      </c>
      <c r="J34" s="27">
        <f>+J5+J16+J17+J18+J19+J20+J21+J23+J24+J25+J26+J27+J28</f>
        <v>2.2028138528138529E-2</v>
      </c>
      <c r="K34" s="27">
        <f>+K5+K16+K17+K18+K19+K20+K21+K23+K24+K25+K26+K27+K28</f>
        <v>1.4105336105336106E-2</v>
      </c>
      <c r="L34" s="27">
        <f>+L5+L16+L17+L18+L19+L20+L21+L23+L24+L25+L26+L27+L28</f>
        <v>1.947152194211018E-2</v>
      </c>
      <c r="M34" s="27">
        <f>+M5+M16+M17+M18+M19+M20+M21+M23+M24+M25+M26+M27+M28</f>
        <v>4.3807999999999998E-3</v>
      </c>
    </row>
    <row r="35" spans="1:13" x14ac:dyDescent="0.2">
      <c r="A35" s="20">
        <f t="shared" si="5"/>
        <v>2.8701483543457706E-2</v>
      </c>
      <c r="B35" s="8" t="s">
        <v>5</v>
      </c>
      <c r="C35" s="22">
        <f>+C12</f>
        <v>8.5714285714285719E-3</v>
      </c>
      <c r="D35" s="22">
        <f>+D12</f>
        <v>8.5714285714285719E-3</v>
      </c>
      <c r="E35" s="27">
        <f>+H12</f>
        <v>7.1617676581395007E-3</v>
      </c>
      <c r="F35" s="11"/>
      <c r="G35" s="11"/>
      <c r="H35" s="11"/>
      <c r="I35" s="27">
        <f>I12</f>
        <v>1.5797788309636651E-3</v>
      </c>
      <c r="J35" s="27">
        <f>J12</f>
        <v>0</v>
      </c>
      <c r="K35" s="27">
        <f>K12</f>
        <v>1.386001386001386E-3</v>
      </c>
      <c r="L35" s="27">
        <f>L12</f>
        <v>1.8674136321195146E-3</v>
      </c>
      <c r="M35" s="27">
        <f>M12</f>
        <v>4.0000000000000002E-4</v>
      </c>
    </row>
    <row r="36" spans="1:13" x14ac:dyDescent="0.2">
      <c r="A36" s="20">
        <f t="shared" si="5"/>
        <v>3.6163869264756704E-2</v>
      </c>
      <c r="B36" s="8" t="s">
        <v>6</v>
      </c>
      <c r="C36" s="22">
        <f>+C9+C10+C13+C22</f>
        <v>1.0799999999999999E-2</v>
      </c>
      <c r="D36" s="22">
        <f>+D9+D10+D13+D22</f>
        <v>1.0799999999999999E-2</v>
      </c>
      <c r="E36" s="27">
        <f>+H9+H10+H13+H22</f>
        <v>9.0238272492557687E-3</v>
      </c>
      <c r="F36" s="11"/>
      <c r="G36" s="11"/>
      <c r="H36" s="11"/>
      <c r="I36" s="27">
        <f>+I9+I10+I13+I22</f>
        <v>1.0268562401263824E-3</v>
      </c>
      <c r="J36" s="27">
        <f>+J9+J10+J13+J22</f>
        <v>2.8138528138528141E-3</v>
      </c>
      <c r="K36" s="27">
        <f>+K9+K10+K13+K22</f>
        <v>1.8018018018018018E-3</v>
      </c>
      <c r="L36" s="27">
        <f>+L9+L10+L13+L22</f>
        <v>2.4276377217553689E-3</v>
      </c>
      <c r="M36" s="27">
        <f>+M9+M10+M13+M22</f>
        <v>5.1999999999999995E-4</v>
      </c>
    </row>
    <row r="37" spans="1:13" x14ac:dyDescent="0.2">
      <c r="A37" s="20">
        <f t="shared" si="5"/>
        <v>2.6166185830452274E-2</v>
      </c>
      <c r="B37" s="8" t="s">
        <v>24</v>
      </c>
      <c r="C37" s="22">
        <f>+C6+C7+C8</f>
        <v>7.8142857142857146E-3</v>
      </c>
      <c r="D37" s="22">
        <f>+D6+D7+D8</f>
        <v>7.8142857142857146E-3</v>
      </c>
      <c r="E37" s="27">
        <f>+H6+H7+H8</f>
        <v>6.529144848337178E-3</v>
      </c>
      <c r="F37" s="11"/>
      <c r="G37" s="11"/>
      <c r="H37" s="11"/>
      <c r="I37" s="27">
        <f>+I6+I7+I8</f>
        <v>1.1934288720379148E-2</v>
      </c>
      <c r="J37" s="27">
        <f>+J6+J7+J8</f>
        <v>1.4048525194805195E-2</v>
      </c>
      <c r="K37" s="27">
        <f>+K6+K7+K8</f>
        <v>1.5809478341558963E-2</v>
      </c>
      <c r="L37" s="27">
        <f>+L6+L7+L8</f>
        <v>1.707318548761905E-2</v>
      </c>
      <c r="M37" s="27">
        <f>+M6+M7+M8</f>
        <v>6.9496000000000002E-3</v>
      </c>
    </row>
    <row r="38" spans="1:13" x14ac:dyDescent="0.2">
      <c r="A38" s="20">
        <f t="shared" si="5"/>
        <v>2.1890977472206075E-3</v>
      </c>
      <c r="B38" s="8" t="s">
        <v>23</v>
      </c>
      <c r="C38" s="22">
        <f>+C14+C15</f>
        <v>6.5375348796050943E-4</v>
      </c>
      <c r="D38" s="22">
        <f>+D14+D15</f>
        <v>2.0000000000000001E-4</v>
      </c>
      <c r="E38" s="27">
        <f>+H14+H15</f>
        <v>5.4623690175500451E-4</v>
      </c>
      <c r="F38" s="11"/>
      <c r="G38" s="11"/>
      <c r="H38" s="11"/>
      <c r="I38" s="27">
        <f>+I14+I15</f>
        <v>6.5375348796050943E-4</v>
      </c>
      <c r="J38" s="27">
        <f>+J14+J15</f>
        <v>3.7429622856350094E-3</v>
      </c>
      <c r="K38" s="27">
        <f>+K14+K15</f>
        <v>3.7429622856350094E-3</v>
      </c>
      <c r="L38" s="27">
        <f>+L14+L15</f>
        <v>3.7429622856350094E-3</v>
      </c>
      <c r="M38" s="27">
        <f>+M14+M15</f>
        <v>4.2086139998376445E-4</v>
      </c>
    </row>
    <row r="39" spans="1:13" x14ac:dyDescent="0.2">
      <c r="A39" s="20">
        <f t="shared" si="5"/>
        <v>2.6309693248169567E-2</v>
      </c>
      <c r="B39" s="8" t="s">
        <v>22</v>
      </c>
      <c r="C39" s="22">
        <f>+C11</f>
        <v>7.8571428571428577E-3</v>
      </c>
      <c r="D39" s="22">
        <f>+D11</f>
        <v>1.1428571428571429E-2</v>
      </c>
      <c r="E39" s="27">
        <f>+H11</f>
        <v>6.2712743296926519E-3</v>
      </c>
      <c r="F39" s="11"/>
      <c r="G39" s="11"/>
      <c r="H39" s="11"/>
      <c r="I39" s="27">
        <f>+I11</f>
        <v>1.0860979462875198E-2</v>
      </c>
      <c r="J39" s="27">
        <f>+J11</f>
        <v>1.6233766233766232E-2</v>
      </c>
      <c r="K39" s="27">
        <f>+K11</f>
        <v>1.0395010395010396E-2</v>
      </c>
      <c r="L39" s="27">
        <f>+L11</f>
        <v>1.4005602240896359E-2</v>
      </c>
      <c r="M39" s="27">
        <f>+M11</f>
        <v>5.4999999999999997E-3</v>
      </c>
    </row>
    <row r="40" spans="1:13" x14ac:dyDescent="0.2">
      <c r="A40" s="68" t="s">
        <v>21</v>
      </c>
      <c r="B40" s="68"/>
      <c r="C40" s="22">
        <f>+C33+C34+C35+C36+C37+C38+C39</f>
        <v>0.29864061063081759</v>
      </c>
      <c r="D40" s="22">
        <f>+D33+D34+D35+D36+D37+D38+D39</f>
        <v>0.30251542857142855</v>
      </c>
      <c r="E40" s="22">
        <f>+E33+E34+E35+E36+E37+E38+E39</f>
        <v>0.28864061063081758</v>
      </c>
      <c r="F40" s="11"/>
      <c r="G40" s="11"/>
      <c r="H40" s="11"/>
      <c r="I40" s="22">
        <f>+I33+I34+I35+I36+I37+I38+I39</f>
        <v>0.28131837396189413</v>
      </c>
      <c r="J40" s="22">
        <f>+J33+J34+J35+J36+J37+J38+J39</f>
        <v>0.29886724505619777</v>
      </c>
      <c r="K40" s="22">
        <f>+K33+K34+K35+K36+K37+K38+K39</f>
        <v>0.28724059031534366</v>
      </c>
      <c r="L40" s="22">
        <f>+L33+L34+L35+L36+L37+L38+L39</f>
        <v>0.29858832331013546</v>
      </c>
      <c r="M40" s="22">
        <f>+M33+M34+M35+M36+M37+M38+M39</f>
        <v>0.25817126139998375</v>
      </c>
    </row>
    <row r="41" spans="1:13" x14ac:dyDescent="0.2">
      <c r="A41" s="36"/>
      <c r="B41" s="36"/>
      <c r="C41" s="37"/>
      <c r="D41" s="38"/>
      <c r="E41" s="11"/>
      <c r="F41" s="11"/>
      <c r="G41" s="11"/>
      <c r="H41" s="11"/>
      <c r="I41" s="11"/>
      <c r="J41" s="11"/>
      <c r="K41" s="11"/>
      <c r="L41" s="11"/>
      <c r="M41" s="11"/>
    </row>
    <row r="42" spans="1:13" x14ac:dyDescent="0.2">
      <c r="A42" s="39" t="s">
        <v>19</v>
      </c>
      <c r="B42" s="40"/>
      <c r="C42" s="42" t="s">
        <v>55</v>
      </c>
      <c r="D42" s="35" t="s">
        <v>54</v>
      </c>
      <c r="E42" s="35" t="s">
        <v>59</v>
      </c>
      <c r="F42" s="11"/>
      <c r="G42" s="11"/>
      <c r="H42" s="11"/>
      <c r="I42" s="35" t="s">
        <v>2</v>
      </c>
      <c r="J42" s="35" t="s">
        <v>2</v>
      </c>
      <c r="K42" s="35" t="s">
        <v>2</v>
      </c>
      <c r="L42" s="35" t="s">
        <v>2</v>
      </c>
      <c r="M42" s="35" t="s">
        <v>2</v>
      </c>
    </row>
    <row r="43" spans="1:13" x14ac:dyDescent="0.2">
      <c r="A43" s="65" t="s">
        <v>18</v>
      </c>
      <c r="B43" s="66"/>
      <c r="C43" s="24">
        <f>+D33</f>
        <v>0.24</v>
      </c>
      <c r="D43" s="24">
        <f>+D33</f>
        <v>0.24</v>
      </c>
      <c r="E43" s="24">
        <f>+E33</f>
        <v>0.24</v>
      </c>
      <c r="F43" s="11"/>
      <c r="G43" s="11"/>
      <c r="H43" s="11"/>
      <c r="I43" s="27">
        <v>0.24</v>
      </c>
      <c r="J43" s="27">
        <v>0.24</v>
      </c>
      <c r="K43" s="27">
        <v>0.24</v>
      </c>
      <c r="L43" s="27">
        <v>0.24</v>
      </c>
      <c r="M43" s="27">
        <v>0.24</v>
      </c>
    </row>
    <row r="44" spans="1:13" x14ac:dyDescent="0.2">
      <c r="A44" s="65" t="s">
        <v>17</v>
      </c>
      <c r="B44" s="66"/>
      <c r="C44" s="24">
        <f>+C34+C35+C36+C37+C38+C39</f>
        <v>5.8640610630817644E-2</v>
      </c>
      <c r="D44" s="24">
        <f>+D34+D35+D36+D37+D38+D39</f>
        <v>6.2515428571428569E-2</v>
      </c>
      <c r="E44" s="24">
        <f>+E34+E35+E36+E37+E38+E39</f>
        <v>4.8640610630817649E-2</v>
      </c>
      <c r="F44" s="11"/>
      <c r="G44" s="11"/>
      <c r="H44" s="11"/>
      <c r="I44" s="24">
        <f>+I34+I35+I36+I37+I38+I39</f>
        <v>4.1318373961894167E-2</v>
      </c>
      <c r="J44" s="24">
        <f>+J34+J35+J36+J37+J38+J39</f>
        <v>5.8867245056197781E-2</v>
      </c>
      <c r="K44" s="24">
        <f>+K34+K35+K36+K37+K38+K39</f>
        <v>4.724059031534366E-2</v>
      </c>
      <c r="L44" s="24">
        <f>+L34+L35+L36+L37+L38+L39</f>
        <v>5.8588323310135484E-2</v>
      </c>
      <c r="M44" s="24">
        <f>+M34+M35+M36+M37+M38+M39</f>
        <v>1.8171261399983762E-2</v>
      </c>
    </row>
    <row r="45" spans="1:13" x14ac:dyDescent="0.2">
      <c r="A45" s="65" t="s">
        <v>16</v>
      </c>
      <c r="B45" s="66"/>
      <c r="C45" s="24">
        <f>+C43+C44</f>
        <v>0.29864061063081765</v>
      </c>
      <c r="D45" s="24">
        <f>+D43+D44</f>
        <v>0.30251542857142855</v>
      </c>
      <c r="E45" s="24">
        <f>+E43+E44</f>
        <v>0.28864061063081764</v>
      </c>
      <c r="F45" s="11"/>
      <c r="G45" s="11"/>
      <c r="H45" s="11"/>
      <c r="I45" s="24">
        <f>+I43+I44</f>
        <v>0.28131837396189419</v>
      </c>
      <c r="J45" s="24">
        <f>+J43+J44</f>
        <v>0.29886724505619777</v>
      </c>
      <c r="K45" s="24">
        <f>+K43+K44</f>
        <v>0.28724059031534366</v>
      </c>
      <c r="L45" s="24">
        <f>+L43+L44</f>
        <v>0.29858832331013546</v>
      </c>
      <c r="M45" s="24">
        <f>+M43+M44</f>
        <v>0.25817126139998375</v>
      </c>
    </row>
    <row r="46" spans="1:13" x14ac:dyDescent="0.2">
      <c r="A46" s="65" t="s">
        <v>56</v>
      </c>
      <c r="B46" s="66"/>
      <c r="C46" s="24">
        <v>0.32500000000000001</v>
      </c>
      <c r="D46" s="24">
        <v>0.32500000000000001</v>
      </c>
      <c r="E46" s="24">
        <v>0.315</v>
      </c>
      <c r="F46" s="11"/>
      <c r="G46" s="11"/>
      <c r="H46" s="11"/>
      <c r="I46" s="24">
        <v>0.315</v>
      </c>
      <c r="J46" s="24">
        <v>0.32500000000000001</v>
      </c>
      <c r="K46" s="24">
        <v>0.32500000000000001</v>
      </c>
      <c r="L46" s="24">
        <v>0.32500000000000001</v>
      </c>
      <c r="M46" s="24">
        <v>0.32500000000000001</v>
      </c>
    </row>
    <row r="47" spans="1:13" x14ac:dyDescent="0.2">
      <c r="A47" s="65" t="s">
        <v>15</v>
      </c>
      <c r="B47" s="66"/>
      <c r="C47" s="24">
        <f>+C46-C45</f>
        <v>2.6359389369182362E-2</v>
      </c>
      <c r="D47" s="24">
        <f>+D46-D45</f>
        <v>2.2484571428571465E-2</v>
      </c>
      <c r="E47" s="24">
        <f>+E46-E45</f>
        <v>2.6359389369182362E-2</v>
      </c>
      <c r="F47" s="11"/>
      <c r="G47" s="11"/>
      <c r="H47" s="11"/>
      <c r="I47" s="24">
        <f>+I46-I45</f>
        <v>3.3681626038105816E-2</v>
      </c>
      <c r="J47" s="24">
        <f>+J46-J45</f>
        <v>2.6132754943802239E-2</v>
      </c>
      <c r="K47" s="24">
        <f>+K46-K45</f>
        <v>3.7759409684656353E-2</v>
      </c>
      <c r="L47" s="24">
        <f>+L46-L45</f>
        <v>2.6411676689864549E-2</v>
      </c>
      <c r="M47" s="24">
        <f>+M46-M45</f>
        <v>6.6828738600016258E-2</v>
      </c>
    </row>
    <row r="48" spans="1:13" x14ac:dyDescent="0.2">
      <c r="A48" s="23" t="s">
        <v>60</v>
      </c>
      <c r="B48" s="44">
        <v>7.0000000000000007E-2</v>
      </c>
      <c r="C48" s="48">
        <f>-$B$48*C47</f>
        <v>-1.8451572558427654E-3</v>
      </c>
      <c r="D48" s="48">
        <f t="shared" ref="D48:E48" si="6">-$B$48*D47</f>
        <v>-1.5739200000000027E-3</v>
      </c>
      <c r="E48" s="48">
        <f t="shared" si="6"/>
        <v>-1.8451572558427654E-3</v>
      </c>
      <c r="F48" s="19"/>
      <c r="G48" s="19"/>
      <c r="H48" s="19"/>
      <c r="I48" s="48">
        <f>-B48*I47</f>
        <v>-2.3577138226674073E-3</v>
      </c>
      <c r="J48" s="48">
        <f>-B48*J47</f>
        <v>-1.829292846066157E-3</v>
      </c>
      <c r="K48" s="48">
        <f>-B48*K47</f>
        <v>-2.643158677925945E-3</v>
      </c>
      <c r="L48" s="48">
        <f>-B48*L47</f>
        <v>-1.8488173682905187E-3</v>
      </c>
      <c r="M48" s="48">
        <f>-B48*M47</f>
        <v>-4.6780117020011388E-3</v>
      </c>
    </row>
    <row r="49" spans="1:13" x14ac:dyDescent="0.2">
      <c r="A49" s="65" t="s">
        <v>14</v>
      </c>
      <c r="B49" s="66"/>
      <c r="C49" s="49">
        <f>+C47+C48</f>
        <v>2.4514232113339599E-2</v>
      </c>
      <c r="D49" s="49">
        <f>+D47+D48</f>
        <v>2.0910651428571462E-2</v>
      </c>
      <c r="E49" s="49">
        <f>+E47+E48</f>
        <v>2.4514232113339599E-2</v>
      </c>
      <c r="F49" s="19"/>
      <c r="G49" s="19"/>
      <c r="H49" s="19"/>
      <c r="I49" s="49">
        <f>+I47+I48</f>
        <v>3.1323912215438413E-2</v>
      </c>
      <c r="J49" s="49">
        <f>+J47+J48</f>
        <v>2.4303462097736081E-2</v>
      </c>
      <c r="K49" s="49">
        <f>+K47+K48</f>
        <v>3.5116251006730409E-2</v>
      </c>
      <c r="L49" s="49">
        <f>+L47+L48</f>
        <v>2.4562859321574031E-2</v>
      </c>
      <c r="M49" s="49">
        <f>+M47+M48</f>
        <v>6.2150726898015117E-2</v>
      </c>
    </row>
    <row r="50" spans="1:13" x14ac:dyDescent="0.2">
      <c r="A50" s="23" t="s">
        <v>61</v>
      </c>
      <c r="B50" s="44">
        <v>0.3</v>
      </c>
      <c r="C50" s="48">
        <f>-$B$50*C49</f>
        <v>-7.3542696340018789E-3</v>
      </c>
      <c r="D50" s="48">
        <f t="shared" ref="D50:E50" si="7">-$B$50*D49</f>
        <v>-6.2731954285714384E-3</v>
      </c>
      <c r="E50" s="48">
        <f t="shared" si="7"/>
        <v>-7.3542696340018789E-3</v>
      </c>
      <c r="F50" s="19"/>
      <c r="G50" s="19"/>
      <c r="H50" s="19"/>
      <c r="I50" s="50">
        <f>-$B$50*I49</f>
        <v>-9.3971736646315234E-3</v>
      </c>
      <c r="J50" s="50">
        <f>-$B$50*J49</f>
        <v>-7.2910386293208243E-3</v>
      </c>
      <c r="K50" s="50">
        <f>-$B$50*K49</f>
        <v>-1.0534875302019122E-2</v>
      </c>
      <c r="L50" s="50">
        <f>-$B$50*L49</f>
        <v>-7.3688577964722089E-3</v>
      </c>
      <c r="M50" s="50">
        <f>-$B$50*M49</f>
        <v>-1.8645218069404536E-2</v>
      </c>
    </row>
    <row r="51" spans="1:13" x14ac:dyDescent="0.2">
      <c r="A51" s="65" t="s">
        <v>13</v>
      </c>
      <c r="B51" s="66"/>
      <c r="C51" s="22">
        <f>+C49+C50</f>
        <v>1.715996247933772E-2</v>
      </c>
      <c r="D51" s="22">
        <f>+D49+D50</f>
        <v>1.4637456000000024E-2</v>
      </c>
      <c r="E51" s="22">
        <f>+E49+E50</f>
        <v>1.715996247933772E-2</v>
      </c>
      <c r="I51" s="22">
        <f t="shared" ref="I51:J51" si="8">+I49+I50</f>
        <v>2.1926738550806887E-2</v>
      </c>
      <c r="J51" s="22">
        <f t="shared" si="8"/>
        <v>1.7012423468415257E-2</v>
      </c>
      <c r="K51" s="22">
        <f t="shared" ref="K51:L51" si="9">+K49+K50</f>
        <v>2.4581375704711285E-2</v>
      </c>
      <c r="L51" s="22">
        <f t="shared" si="9"/>
        <v>1.7194001525101824E-2</v>
      </c>
      <c r="M51" s="22">
        <f t="shared" ref="M51" si="10">+M49+M50</f>
        <v>4.3505508828610581E-2</v>
      </c>
    </row>
    <row r="52" spans="1:13" x14ac:dyDescent="0.2">
      <c r="A52" s="23" t="s">
        <v>57</v>
      </c>
      <c r="B52" s="43">
        <v>35000</v>
      </c>
      <c r="C52" s="25">
        <f>+$B$52*C51</f>
        <v>600.59868677682016</v>
      </c>
      <c r="D52" s="25">
        <f t="shared" ref="D52:E52" si="11">+$B$52*D51</f>
        <v>512.31096000000082</v>
      </c>
      <c r="E52" s="25">
        <f t="shared" si="11"/>
        <v>600.59868677682016</v>
      </c>
      <c r="I52" s="25">
        <f>+I2*I51</f>
        <v>555.18502010643044</v>
      </c>
      <c r="J52" s="25">
        <f>J2*J51</f>
        <v>157.19479284815696</v>
      </c>
      <c r="K52" s="25">
        <f>K2*K51</f>
        <v>354.70925141898385</v>
      </c>
      <c r="L52" s="25">
        <f>L2*L51</f>
        <v>184.14775633384053</v>
      </c>
      <c r="M52" s="25">
        <f>M2*M51</f>
        <v>2175.2754414305291</v>
      </c>
    </row>
    <row r="53" spans="1:13" x14ac:dyDescent="0.2">
      <c r="A53" s="65" t="s">
        <v>12</v>
      </c>
      <c r="B53" s="66"/>
      <c r="C53" s="41">
        <f>+C52/3</f>
        <v>200.19956225894006</v>
      </c>
      <c r="D53" s="41">
        <f t="shared" ref="D53:E53" si="12">+D52/3</f>
        <v>170.77032000000028</v>
      </c>
      <c r="E53" s="41">
        <f t="shared" si="12"/>
        <v>200.19956225894006</v>
      </c>
      <c r="I53" s="41">
        <f t="shared" ref="I53:J53" si="13">+I52/3</f>
        <v>185.06167336881015</v>
      </c>
      <c r="J53" s="41">
        <f t="shared" si="13"/>
        <v>52.398264282718991</v>
      </c>
      <c r="K53" s="41">
        <f t="shared" ref="K53:L53" si="14">+K52/3</f>
        <v>118.23641713966128</v>
      </c>
      <c r="L53" s="41">
        <f t="shared" si="14"/>
        <v>61.382585444613511</v>
      </c>
      <c r="M53" s="41">
        <f t="shared" ref="M53" si="15">+M52/3</f>
        <v>725.0918138101764</v>
      </c>
    </row>
    <row r="55" spans="1:13" x14ac:dyDescent="0.2">
      <c r="I55" s="70" t="s">
        <v>67</v>
      </c>
      <c r="J55" s="70"/>
      <c r="K55" s="70" t="s">
        <v>68</v>
      </c>
      <c r="L55" s="70"/>
    </row>
  </sheetData>
  <autoFilter ref="A3:D30"/>
  <mergeCells count="15">
    <mergeCell ref="I55:J55"/>
    <mergeCell ref="K55:L55"/>
    <mergeCell ref="A47:B47"/>
    <mergeCell ref="A49:B49"/>
    <mergeCell ref="A51:B51"/>
    <mergeCell ref="A53:B53"/>
    <mergeCell ref="E1:E2"/>
    <mergeCell ref="A43:B43"/>
    <mergeCell ref="A44:B44"/>
    <mergeCell ref="A45:B45"/>
    <mergeCell ref="A46:B46"/>
    <mergeCell ref="A29:B29"/>
    <mergeCell ref="A40:B40"/>
    <mergeCell ref="A1:A2"/>
    <mergeCell ref="B1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5"/>
  <sheetViews>
    <sheetView topLeftCell="A27" workbookViewId="0">
      <selection activeCell="B45" sqref="B45"/>
    </sheetView>
  </sheetViews>
  <sheetFormatPr baseColWidth="10" defaultRowHeight="15" x14ac:dyDescent="0.25"/>
  <cols>
    <col min="1" max="1" width="24.7109375" bestFit="1" customWidth="1"/>
    <col min="2" max="2" width="12" bestFit="1" customWidth="1"/>
  </cols>
  <sheetData>
    <row r="6" spans="1:1" ht="14.45" x14ac:dyDescent="0.3">
      <c r="A6">
        <v>0</v>
      </c>
    </row>
    <row r="29" spans="1:3" x14ac:dyDescent="0.25">
      <c r="A29" t="s">
        <v>0</v>
      </c>
      <c r="B29" t="s">
        <v>1</v>
      </c>
      <c r="C29" t="s">
        <v>2</v>
      </c>
    </row>
    <row r="30" spans="1:3" x14ac:dyDescent="0.25">
      <c r="B30" s="2">
        <v>35000</v>
      </c>
      <c r="C30" s="2">
        <v>25320</v>
      </c>
    </row>
    <row r="32" spans="1:3" x14ac:dyDescent="0.25">
      <c r="A32" t="s">
        <v>3</v>
      </c>
      <c r="B32" s="1">
        <v>0.24</v>
      </c>
      <c r="C32" s="1">
        <v>0.24</v>
      </c>
    </row>
    <row r="33" spans="1:5" x14ac:dyDescent="0.25">
      <c r="A33" t="s">
        <v>4</v>
      </c>
      <c r="B33" s="1">
        <v>2.3E-2</v>
      </c>
      <c r="C33" s="1"/>
    </row>
    <row r="34" spans="1:5" x14ac:dyDescent="0.25">
      <c r="A34" t="s">
        <v>5</v>
      </c>
      <c r="B34" s="1">
        <v>8.6E-3</v>
      </c>
      <c r="C34" s="1"/>
    </row>
    <row r="35" spans="1:5" x14ac:dyDescent="0.25">
      <c r="A35" t="s">
        <v>6</v>
      </c>
      <c r="B35" s="1">
        <v>1.0800000000000001E-2</v>
      </c>
      <c r="C35" s="1"/>
    </row>
    <row r="36" spans="1:5" x14ac:dyDescent="0.25">
      <c r="A36" t="s">
        <v>7</v>
      </c>
      <c r="B36" s="1">
        <v>4.5999999999999999E-3</v>
      </c>
      <c r="C36" s="1"/>
    </row>
    <row r="37" spans="1:5" x14ac:dyDescent="0.25">
      <c r="A37" t="s">
        <v>8</v>
      </c>
      <c r="B37" s="1">
        <v>5.0000000000000001E-4</v>
      </c>
      <c r="C37" s="1"/>
    </row>
    <row r="38" spans="1:5" x14ac:dyDescent="0.25">
      <c r="A38" t="s">
        <v>9</v>
      </c>
      <c r="B38" s="1">
        <f>275/35000</f>
        <v>7.8571428571428577E-3</v>
      </c>
      <c r="C38" s="1">
        <v>1.0860979462875198E-2</v>
      </c>
      <c r="D38" s="1">
        <f>+C38-B38</f>
        <v>3.0038366057323403E-3</v>
      </c>
      <c r="E38" s="3">
        <f>+D38/B38</f>
        <v>0.38230647709320692</v>
      </c>
    </row>
    <row r="39" spans="1:5" x14ac:dyDescent="0.25">
      <c r="A39" t="s">
        <v>10</v>
      </c>
      <c r="B39" s="1">
        <f>SUM(B32:B38)</f>
        <v>0.29535714285714282</v>
      </c>
      <c r="C39" s="1"/>
    </row>
    <row r="40" spans="1:5" x14ac:dyDescent="0.25">
      <c r="B40" s="4">
        <f>+B39*B30</f>
        <v>10337.499999999998</v>
      </c>
      <c r="C40" s="1"/>
    </row>
    <row r="44" spans="1:5" x14ac:dyDescent="0.25">
      <c r="A44" t="s">
        <v>11</v>
      </c>
    </row>
    <row r="45" spans="1:5" x14ac:dyDescent="0.25">
      <c r="A45" t="s">
        <v>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topLeftCell="A2" workbookViewId="0">
      <selection activeCell="M15" sqref="M15"/>
    </sheetView>
  </sheetViews>
  <sheetFormatPr baseColWidth="10" defaultRowHeight="15" x14ac:dyDescent="0.25"/>
  <cols>
    <col min="1" max="1" width="21.5703125" bestFit="1" customWidth="1"/>
  </cols>
  <sheetData>
    <row r="1" spans="1:12" x14ac:dyDescent="0.25">
      <c r="A1" s="72" t="s">
        <v>69</v>
      </c>
      <c r="B1" s="72"/>
      <c r="C1" s="72"/>
      <c r="D1" s="72"/>
      <c r="E1" s="72"/>
    </row>
    <row r="2" spans="1:12" x14ac:dyDescent="0.25">
      <c r="A2" s="72" t="s">
        <v>70</v>
      </c>
      <c r="B2" s="72"/>
      <c r="C2" s="72"/>
      <c r="D2" s="72"/>
      <c r="E2" s="72"/>
    </row>
    <row r="4" spans="1:12" x14ac:dyDescent="0.25">
      <c r="B4" s="71" t="s">
        <v>73</v>
      </c>
      <c r="C4" s="71"/>
      <c r="D4" s="71"/>
      <c r="E4" s="71"/>
    </row>
    <row r="5" spans="1:12" ht="30" x14ac:dyDescent="0.25">
      <c r="A5" s="56" t="s">
        <v>71</v>
      </c>
      <c r="B5" s="57" t="s">
        <v>72</v>
      </c>
      <c r="C5" s="56" t="s">
        <v>74</v>
      </c>
      <c r="D5" s="56" t="s">
        <v>75</v>
      </c>
      <c r="E5" s="56" t="s">
        <v>76</v>
      </c>
    </row>
    <row r="6" spans="1:12" x14ac:dyDescent="0.25">
      <c r="A6" s="53" t="s">
        <v>52</v>
      </c>
      <c r="B6" s="62">
        <v>0.17</v>
      </c>
      <c r="C6" s="60">
        <v>50000</v>
      </c>
      <c r="D6" s="54">
        <f>+B6*C6</f>
        <v>8500</v>
      </c>
      <c r="E6" s="62">
        <f>+D6/C6</f>
        <v>0.17</v>
      </c>
    </row>
    <row r="7" spans="1:12" x14ac:dyDescent="0.25">
      <c r="A7" s="53" t="s">
        <v>77</v>
      </c>
      <c r="B7" s="53">
        <v>20</v>
      </c>
      <c r="C7" s="53">
        <v>15</v>
      </c>
      <c r="D7" s="54">
        <f>+B7*C7</f>
        <v>300</v>
      </c>
      <c r="E7" s="53">
        <f>+D7/$C$6</f>
        <v>6.0000000000000001E-3</v>
      </c>
      <c r="J7">
        <v>18</v>
      </c>
      <c r="K7">
        <v>10.45</v>
      </c>
    </row>
    <row r="8" spans="1:12" x14ac:dyDescent="0.25">
      <c r="A8" s="53" t="s">
        <v>78</v>
      </c>
      <c r="B8" s="53">
        <v>17.5</v>
      </c>
      <c r="C8" s="53">
        <v>15</v>
      </c>
      <c r="D8" s="54">
        <f t="shared" ref="D8:D21" si="0">+B8*C8</f>
        <v>262.5</v>
      </c>
      <c r="E8" s="53">
        <f t="shared" ref="E8:E21" si="1">+D8/$C$6</f>
        <v>5.2500000000000003E-3</v>
      </c>
      <c r="J8">
        <f>+J7/100</f>
        <v>0.18</v>
      </c>
      <c r="K8">
        <f>+K7/100</f>
        <v>0.1045</v>
      </c>
    </row>
    <row r="9" spans="1:12" x14ac:dyDescent="0.25">
      <c r="A9" s="53" t="s">
        <v>79</v>
      </c>
      <c r="B9" s="53">
        <v>15</v>
      </c>
      <c r="C9" s="53">
        <v>15</v>
      </c>
      <c r="D9" s="54">
        <f t="shared" si="0"/>
        <v>225</v>
      </c>
      <c r="E9" s="53">
        <f t="shared" si="1"/>
        <v>4.4999999999999997E-3</v>
      </c>
      <c r="J9">
        <f>+J8*2.2</f>
        <v>0.39600000000000002</v>
      </c>
      <c r="K9">
        <f>+K8*2.2</f>
        <v>0.22990000000000002</v>
      </c>
      <c r="L9" s="73">
        <f>+K9/1.13</f>
        <v>0.20345132743362834</v>
      </c>
    </row>
    <row r="10" spans="1:12" x14ac:dyDescent="0.25">
      <c r="A10" s="53" t="s">
        <v>79</v>
      </c>
      <c r="B10" s="53">
        <v>13</v>
      </c>
      <c r="C10" s="53">
        <v>15</v>
      </c>
      <c r="D10" s="54">
        <f t="shared" si="0"/>
        <v>195</v>
      </c>
      <c r="E10" s="53">
        <f t="shared" si="1"/>
        <v>3.8999999999999998E-3</v>
      </c>
      <c r="J10">
        <v>0.17</v>
      </c>
      <c r="K10">
        <v>0.17</v>
      </c>
    </row>
    <row r="11" spans="1:12" x14ac:dyDescent="0.25">
      <c r="A11" s="53" t="s">
        <v>80</v>
      </c>
      <c r="B11" s="53">
        <v>24</v>
      </c>
      <c r="C11" s="53">
        <v>15</v>
      </c>
      <c r="D11" s="54">
        <f t="shared" si="0"/>
        <v>360</v>
      </c>
      <c r="E11" s="53">
        <f t="shared" si="1"/>
        <v>7.1999999999999998E-3</v>
      </c>
      <c r="J11">
        <f>+J9-J10</f>
        <v>0.22600000000000001</v>
      </c>
      <c r="K11">
        <f>+K9-K10</f>
        <v>5.9900000000000009E-2</v>
      </c>
    </row>
    <row r="12" spans="1:12" x14ac:dyDescent="0.25">
      <c r="A12" s="53" t="s">
        <v>95</v>
      </c>
      <c r="B12" s="53">
        <v>152.99</v>
      </c>
      <c r="C12" s="53">
        <v>1</v>
      </c>
      <c r="D12" s="54">
        <f t="shared" si="0"/>
        <v>152.99</v>
      </c>
      <c r="E12" s="53">
        <f t="shared" si="1"/>
        <v>3.0598000000000001E-3</v>
      </c>
    </row>
    <row r="13" spans="1:12" x14ac:dyDescent="0.25">
      <c r="A13" s="53" t="s">
        <v>47</v>
      </c>
      <c r="B13" s="53">
        <v>21.5</v>
      </c>
      <c r="C13" s="53">
        <v>10</v>
      </c>
      <c r="D13" s="54">
        <f t="shared" si="0"/>
        <v>215</v>
      </c>
      <c r="E13" s="53">
        <f t="shared" si="1"/>
        <v>4.3E-3</v>
      </c>
    </row>
    <row r="14" spans="1:12" x14ac:dyDescent="0.25">
      <c r="A14" s="53" t="s">
        <v>81</v>
      </c>
      <c r="B14" s="53">
        <v>58</v>
      </c>
      <c r="C14" s="53">
        <v>1</v>
      </c>
      <c r="D14" s="54">
        <f t="shared" si="0"/>
        <v>58</v>
      </c>
      <c r="E14" s="53">
        <f t="shared" si="1"/>
        <v>1.16E-3</v>
      </c>
    </row>
    <row r="15" spans="1:12" x14ac:dyDescent="0.25">
      <c r="A15" s="53" t="s">
        <v>82</v>
      </c>
      <c r="B15" s="53">
        <v>50</v>
      </c>
      <c r="C15" s="53">
        <v>15</v>
      </c>
      <c r="D15" s="54">
        <f t="shared" si="0"/>
        <v>750</v>
      </c>
      <c r="E15" s="53">
        <f t="shared" si="1"/>
        <v>1.4999999999999999E-2</v>
      </c>
    </row>
    <row r="16" spans="1:12" x14ac:dyDescent="0.25">
      <c r="A16" s="53" t="s">
        <v>83</v>
      </c>
      <c r="B16" s="53">
        <v>15</v>
      </c>
      <c r="C16" s="53">
        <v>15</v>
      </c>
      <c r="D16" s="54">
        <f t="shared" si="0"/>
        <v>225</v>
      </c>
      <c r="E16" s="53">
        <f t="shared" si="1"/>
        <v>4.4999999999999997E-3</v>
      </c>
    </row>
    <row r="17" spans="1:8" x14ac:dyDescent="0.25">
      <c r="A17" s="53" t="s">
        <v>41</v>
      </c>
      <c r="B17" s="53">
        <v>2.6</v>
      </c>
      <c r="C17" s="53">
        <v>12</v>
      </c>
      <c r="D17" s="54">
        <f t="shared" si="0"/>
        <v>31.200000000000003</v>
      </c>
      <c r="E17" s="53">
        <f t="shared" si="1"/>
        <v>6.240000000000001E-4</v>
      </c>
    </row>
    <row r="18" spans="1:8" x14ac:dyDescent="0.25">
      <c r="A18" s="53" t="s">
        <v>36</v>
      </c>
      <c r="B18" s="53">
        <v>2.5</v>
      </c>
      <c r="C18" s="53">
        <v>15</v>
      </c>
      <c r="D18" s="54">
        <f t="shared" si="0"/>
        <v>37.5</v>
      </c>
      <c r="E18" s="53">
        <f t="shared" si="1"/>
        <v>7.5000000000000002E-4</v>
      </c>
    </row>
    <row r="19" spans="1:8" x14ac:dyDescent="0.25">
      <c r="A19" s="53" t="s">
        <v>84</v>
      </c>
      <c r="B19" s="53">
        <v>275</v>
      </c>
      <c r="C19" s="53">
        <v>1</v>
      </c>
      <c r="D19" s="54">
        <f t="shared" si="0"/>
        <v>275</v>
      </c>
      <c r="E19" s="53">
        <f t="shared" si="1"/>
        <v>5.4999999999999997E-3</v>
      </c>
    </row>
    <row r="20" spans="1:8" x14ac:dyDescent="0.25">
      <c r="A20" s="53" t="s">
        <v>85</v>
      </c>
      <c r="B20" s="53">
        <v>50</v>
      </c>
      <c r="C20" s="53">
        <v>15</v>
      </c>
      <c r="D20" s="54">
        <f t="shared" si="0"/>
        <v>750</v>
      </c>
      <c r="E20" s="53">
        <f t="shared" si="1"/>
        <v>1.4999999999999999E-2</v>
      </c>
    </row>
    <row r="21" spans="1:8" x14ac:dyDescent="0.25">
      <c r="A21" s="53" t="s">
        <v>86</v>
      </c>
      <c r="B21" s="53">
        <v>20</v>
      </c>
      <c r="C21" s="53">
        <v>1</v>
      </c>
      <c r="D21" s="54">
        <f t="shared" si="0"/>
        <v>20</v>
      </c>
      <c r="E21" s="53">
        <f t="shared" si="1"/>
        <v>4.0000000000000002E-4</v>
      </c>
    </row>
    <row r="22" spans="1:8" x14ac:dyDescent="0.25">
      <c r="A22" s="56" t="s">
        <v>87</v>
      </c>
      <c r="B22" s="56"/>
      <c r="C22" s="56"/>
      <c r="D22" s="58">
        <f>SUM(D6:D21)</f>
        <v>12357.19</v>
      </c>
      <c r="E22" s="59">
        <f>+D22/C6</f>
        <v>0.2471438</v>
      </c>
    </row>
    <row r="23" spans="1:8" x14ac:dyDescent="0.25">
      <c r="A23" s="53" t="s">
        <v>88</v>
      </c>
      <c r="B23" s="53">
        <v>0.32500000000000001</v>
      </c>
      <c r="C23" s="60">
        <f>+C6-25000</f>
        <v>25000</v>
      </c>
      <c r="D23" s="54">
        <f>(B23*C23)+H24</f>
        <v>13211.283185840708</v>
      </c>
      <c r="G23">
        <v>25000</v>
      </c>
      <c r="H23">
        <f>+G23*B23</f>
        <v>8125</v>
      </c>
    </row>
    <row r="24" spans="1:8" x14ac:dyDescent="0.25">
      <c r="A24" s="53" t="s">
        <v>89</v>
      </c>
      <c r="B24" s="53"/>
      <c r="C24" s="53"/>
      <c r="D24" s="54">
        <f>+D23-D22</f>
        <v>854.09318584070752</v>
      </c>
      <c r="G24">
        <v>25000</v>
      </c>
      <c r="H24">
        <f>+G24*L9</f>
        <v>5086.2831858407089</v>
      </c>
    </row>
    <row r="25" spans="1:8" x14ac:dyDescent="0.25">
      <c r="A25" s="53" t="s">
        <v>90</v>
      </c>
      <c r="B25" s="53"/>
      <c r="C25" s="55">
        <v>7.0000000000000007E-2</v>
      </c>
      <c r="D25" s="54">
        <f>+D24*C25</f>
        <v>59.786523008849535</v>
      </c>
    </row>
    <row r="26" spans="1:8" x14ac:dyDescent="0.25">
      <c r="A26" s="53" t="s">
        <v>91</v>
      </c>
      <c r="B26" s="53"/>
      <c r="C26" s="53"/>
      <c r="D26" s="54">
        <f>+D24-D25</f>
        <v>794.30666283185803</v>
      </c>
    </row>
    <row r="27" spans="1:8" x14ac:dyDescent="0.25">
      <c r="A27" s="53" t="s">
        <v>92</v>
      </c>
      <c r="B27" s="53"/>
      <c r="C27" s="55">
        <v>0.3</v>
      </c>
      <c r="D27" s="54">
        <f>+D26*C27</f>
        <v>238.29199884955739</v>
      </c>
    </row>
    <row r="28" spans="1:8" x14ac:dyDescent="0.25">
      <c r="A28" s="53" t="s">
        <v>93</v>
      </c>
      <c r="B28" s="53"/>
      <c r="C28" s="53"/>
      <c r="D28" s="54">
        <f>+D26-D27</f>
        <v>556.01466398230059</v>
      </c>
    </row>
    <row r="29" spans="1:8" x14ac:dyDescent="0.25">
      <c r="A29" s="56" t="s">
        <v>94</v>
      </c>
      <c r="B29" s="53"/>
      <c r="C29" s="53"/>
      <c r="D29" s="61">
        <f>+D28/3</f>
        <v>185.33822132743353</v>
      </c>
    </row>
  </sheetData>
  <mergeCells count="3">
    <mergeCell ref="B4:E4"/>
    <mergeCell ref="A1:E1"/>
    <mergeCell ref="A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COSTOS</vt:lpstr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Duque</dc:creator>
  <cp:lastModifiedBy>User</cp:lastModifiedBy>
  <cp:lastPrinted>2023-06-12T17:31:58Z</cp:lastPrinted>
  <dcterms:created xsi:type="dcterms:W3CDTF">2023-04-15T17:02:15Z</dcterms:created>
  <dcterms:modified xsi:type="dcterms:W3CDTF">2023-06-14T23:08:22Z</dcterms:modified>
</cp:coreProperties>
</file>