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7"/>
  </bookViews>
  <sheets>
    <sheet name="Hoja1 (2)" sheetId="4" r:id="rId1"/>
    <sheet name="1" sheetId="1" r:id="rId2"/>
    <sheet name="2" sheetId="5" r:id="rId3"/>
    <sheet name="3" sheetId="6" r:id="rId4"/>
    <sheet name="4" sheetId="7" r:id="rId5"/>
    <sheet name="R1" sheetId="8" r:id="rId6"/>
    <sheet name="EL ANGEL" sheetId="9" r:id="rId7"/>
    <sheet name="EL ANGEL JULIO" sheetId="12" r:id="rId8"/>
    <sheet name="ROBLE" sheetId="10" r:id="rId9"/>
    <sheet name="CHAPARRASTIQUE" sheetId="11" r:id="rId10"/>
    <sheet name="Hoja2" sheetId="2" r:id="rId11"/>
    <sheet name="Hoja3" sheetId="3" r:id="rId12"/>
  </sheets>
  <calcPr calcId="144525"/>
</workbook>
</file>

<file path=xl/calcChain.xml><?xml version="1.0" encoding="utf-8"?>
<calcChain xmlns="http://schemas.openxmlformats.org/spreadsheetml/2006/main">
  <c r="J29" i="12" l="1"/>
  <c r="I29" i="12"/>
  <c r="H29" i="12"/>
  <c r="G29" i="12"/>
  <c r="F29" i="12"/>
  <c r="E29" i="12"/>
  <c r="D29" i="12"/>
  <c r="C29" i="12"/>
  <c r="L26" i="12"/>
  <c r="L25" i="12"/>
  <c r="J25" i="12"/>
  <c r="J27" i="12" s="1"/>
  <c r="I25" i="12"/>
  <c r="H25" i="12"/>
  <c r="H27" i="12" s="1"/>
  <c r="M20" i="12"/>
  <c r="E20" i="12"/>
  <c r="P19" i="12"/>
  <c r="O19" i="12"/>
  <c r="N19" i="12"/>
  <c r="Q19" i="12" s="1"/>
  <c r="Q18" i="12"/>
  <c r="P18" i="12"/>
  <c r="O18" i="12"/>
  <c r="N18" i="12"/>
  <c r="P17" i="12"/>
  <c r="O17" i="12"/>
  <c r="N17" i="12"/>
  <c r="Q17" i="12" s="1"/>
  <c r="P16" i="12"/>
  <c r="O16" i="12"/>
  <c r="N16" i="12"/>
  <c r="Q16" i="12" s="1"/>
  <c r="P15" i="12"/>
  <c r="P20" i="12" s="1"/>
  <c r="O15" i="12"/>
  <c r="O20" i="12" s="1"/>
  <c r="N15" i="12"/>
  <c r="N20" i="12" s="1"/>
  <c r="G25" i="12"/>
  <c r="F25" i="12"/>
  <c r="E14" i="12"/>
  <c r="E25" i="12" s="1"/>
  <c r="D14" i="12"/>
  <c r="D25" i="12" s="1"/>
  <c r="C14" i="12"/>
  <c r="C25" i="12" s="1"/>
  <c r="N7" i="12"/>
  <c r="L7" i="12"/>
  <c r="M7" i="12" s="1"/>
  <c r="J7" i="12"/>
  <c r="I7" i="12"/>
  <c r="H7" i="12"/>
  <c r="G7" i="12"/>
  <c r="F7" i="12"/>
  <c r="E7" i="12"/>
  <c r="D7" i="12"/>
  <c r="C7" i="12"/>
  <c r="C27" i="12" l="1"/>
  <c r="C31" i="12" s="1"/>
  <c r="D27" i="12"/>
  <c r="G27" i="12"/>
  <c r="I27" i="12"/>
  <c r="E27" i="12"/>
  <c r="E31" i="12" s="1"/>
  <c r="E33" i="12" s="1"/>
  <c r="F27" i="12"/>
  <c r="G31" i="12"/>
  <c r="H31" i="12"/>
  <c r="D31" i="12"/>
  <c r="F31" i="12"/>
  <c r="I31" i="12"/>
  <c r="J31" i="12"/>
  <c r="Q15" i="12"/>
  <c r="Q20" i="12" s="1"/>
  <c r="C38" i="11"/>
  <c r="I36" i="11"/>
  <c r="I35" i="11"/>
  <c r="C30" i="11"/>
  <c r="C28" i="11"/>
  <c r="C21" i="11"/>
  <c r="C12" i="11"/>
  <c r="P24" i="11"/>
  <c r="K25" i="11"/>
  <c r="K24" i="11"/>
  <c r="C24" i="11"/>
  <c r="N19" i="11"/>
  <c r="L19" i="11"/>
  <c r="O18" i="11"/>
  <c r="N18" i="11"/>
  <c r="M18" i="11"/>
  <c r="P18" i="11" s="1"/>
  <c r="O17" i="11"/>
  <c r="N17" i="11"/>
  <c r="M17" i="11"/>
  <c r="P17" i="11" s="1"/>
  <c r="O16" i="11"/>
  <c r="N16" i="11"/>
  <c r="M16" i="11"/>
  <c r="P16" i="11" s="1"/>
  <c r="O15" i="11"/>
  <c r="O19" i="11" s="1"/>
  <c r="N15" i="11"/>
  <c r="M15" i="11"/>
  <c r="O14" i="11"/>
  <c r="N14" i="11"/>
  <c r="M14" i="11"/>
  <c r="M19" i="11" s="1"/>
  <c r="M6" i="11"/>
  <c r="C6" i="11"/>
  <c r="K6" i="11" s="1"/>
  <c r="C33" i="12" l="1"/>
  <c r="C35" i="12"/>
  <c r="C37" i="12" s="1"/>
  <c r="C39" i="12" s="1"/>
  <c r="I33" i="12"/>
  <c r="I35" i="12" s="1"/>
  <c r="I37" i="12" s="1"/>
  <c r="I39" i="12" s="1"/>
  <c r="J33" i="12"/>
  <c r="J35" i="12" s="1"/>
  <c r="E35" i="12"/>
  <c r="E37" i="12" s="1"/>
  <c r="E39" i="12" s="1"/>
  <c r="D33" i="12"/>
  <c r="D35" i="12" s="1"/>
  <c r="H33" i="12"/>
  <c r="Q27" i="12"/>
  <c r="Q25" i="12"/>
  <c r="N25" i="12"/>
  <c r="F33" i="12"/>
  <c r="F35" i="12" s="1"/>
  <c r="G33" i="12"/>
  <c r="G35" i="12" s="1"/>
  <c r="C26" i="11"/>
  <c r="L6" i="11"/>
  <c r="P14" i="11"/>
  <c r="P15" i="11"/>
  <c r="D28" i="10"/>
  <c r="C28" i="10" s="1"/>
  <c r="K25" i="10"/>
  <c r="K24" i="10"/>
  <c r="C24" i="10"/>
  <c r="C26" i="10" s="1"/>
  <c r="N19" i="10"/>
  <c r="L19" i="10"/>
  <c r="O18" i="10"/>
  <c r="N18" i="10"/>
  <c r="M18" i="10"/>
  <c r="P18" i="10" s="1"/>
  <c r="O17" i="10"/>
  <c r="N17" i="10"/>
  <c r="M17" i="10"/>
  <c r="P17" i="10" s="1"/>
  <c r="O16" i="10"/>
  <c r="N16" i="10"/>
  <c r="M16" i="10"/>
  <c r="P16" i="10" s="1"/>
  <c r="P15" i="10"/>
  <c r="O15" i="10"/>
  <c r="O19" i="10" s="1"/>
  <c r="N15" i="10"/>
  <c r="M15" i="10"/>
  <c r="O14" i="10"/>
  <c r="N14" i="10"/>
  <c r="M14" i="10"/>
  <c r="M19" i="10" s="1"/>
  <c r="I10" i="10"/>
  <c r="G10" i="10"/>
  <c r="E10" i="10"/>
  <c r="M6" i="10"/>
  <c r="C6" i="10"/>
  <c r="K6" i="10" s="1"/>
  <c r="Q27" i="9"/>
  <c r="J29" i="9"/>
  <c r="I29" i="9"/>
  <c r="H29" i="9"/>
  <c r="G29" i="9"/>
  <c r="F29" i="9"/>
  <c r="E29" i="9"/>
  <c r="D29" i="9"/>
  <c r="C29" i="9"/>
  <c r="J25" i="9"/>
  <c r="I25" i="9"/>
  <c r="H25" i="9"/>
  <c r="G25" i="9"/>
  <c r="F25" i="9"/>
  <c r="E25" i="9"/>
  <c r="D25" i="9"/>
  <c r="J7" i="9"/>
  <c r="I7" i="9"/>
  <c r="H7" i="9"/>
  <c r="G7" i="9"/>
  <c r="F7" i="9"/>
  <c r="E7" i="9"/>
  <c r="D7" i="9"/>
  <c r="C7" i="9"/>
  <c r="C25" i="9"/>
  <c r="J14" i="9"/>
  <c r="I14" i="9"/>
  <c r="H14" i="9"/>
  <c r="G14" i="9"/>
  <c r="F14" i="9"/>
  <c r="E20" i="9"/>
  <c r="E14" i="9"/>
  <c r="D14" i="9"/>
  <c r="C14" i="9"/>
  <c r="L26" i="9"/>
  <c r="L25" i="9"/>
  <c r="O20" i="9"/>
  <c r="M20" i="9"/>
  <c r="P19" i="9"/>
  <c r="O19" i="9"/>
  <c r="N19" i="9"/>
  <c r="Q19" i="9" s="1"/>
  <c r="P18" i="9"/>
  <c r="O18" i="9"/>
  <c r="N18" i="9"/>
  <c r="Q18" i="9" s="1"/>
  <c r="P17" i="9"/>
  <c r="O17" i="9"/>
  <c r="N17" i="9"/>
  <c r="Q17" i="9" s="1"/>
  <c r="P16" i="9"/>
  <c r="P20" i="9" s="1"/>
  <c r="O16" i="9"/>
  <c r="N16" i="9"/>
  <c r="P15" i="9"/>
  <c r="O15" i="9"/>
  <c r="N15" i="9"/>
  <c r="N20" i="9" s="1"/>
  <c r="N7" i="9"/>
  <c r="P24" i="8"/>
  <c r="J37" i="12" l="1"/>
  <c r="J39" i="12" s="1"/>
  <c r="H35" i="12"/>
  <c r="H37" i="12" s="1"/>
  <c r="H39" i="12" s="1"/>
  <c r="G37" i="12"/>
  <c r="G39" i="12" s="1"/>
  <c r="D37" i="12"/>
  <c r="D39" i="12" s="1"/>
  <c r="F37" i="12"/>
  <c r="F39" i="12" s="1"/>
  <c r="P19" i="11"/>
  <c r="C32" i="11"/>
  <c r="C30" i="10"/>
  <c r="L6" i="10"/>
  <c r="P14" i="10"/>
  <c r="P19" i="10" s="1"/>
  <c r="C27" i="9"/>
  <c r="C31" i="9" s="1"/>
  <c r="D27" i="9"/>
  <c r="D31" i="9" s="1"/>
  <c r="L7" i="9"/>
  <c r="M7" i="9" s="1"/>
  <c r="Q15" i="9"/>
  <c r="Q16" i="9"/>
  <c r="K25" i="8"/>
  <c r="C41" i="12" l="1"/>
  <c r="C34" i="11"/>
  <c r="C36" i="11" s="1"/>
  <c r="M24" i="11"/>
  <c r="P24" i="10"/>
  <c r="M24" i="10"/>
  <c r="C32" i="10"/>
  <c r="E27" i="9"/>
  <c r="E31" i="9" s="1"/>
  <c r="Q20" i="9"/>
  <c r="D28" i="8"/>
  <c r="C28" i="8" s="1"/>
  <c r="M6" i="8"/>
  <c r="L6" i="8"/>
  <c r="K6" i="8"/>
  <c r="C24" i="8"/>
  <c r="I10" i="8"/>
  <c r="G10" i="8"/>
  <c r="E10" i="8"/>
  <c r="M24" i="8"/>
  <c r="K24" i="8"/>
  <c r="N19" i="8"/>
  <c r="L19" i="8"/>
  <c r="O18" i="8"/>
  <c r="P18" i="8" s="1"/>
  <c r="N18" i="8"/>
  <c r="M18" i="8"/>
  <c r="P17" i="8"/>
  <c r="O17" i="8"/>
  <c r="N17" i="8"/>
  <c r="M17" i="8"/>
  <c r="P16" i="8"/>
  <c r="O16" i="8"/>
  <c r="N16" i="8"/>
  <c r="M16" i="8"/>
  <c r="P15" i="8"/>
  <c r="O15" i="8"/>
  <c r="N15" i="8"/>
  <c r="M15" i="8"/>
  <c r="P14" i="8"/>
  <c r="P19" i="8" s="1"/>
  <c r="O14" i="8"/>
  <c r="N14" i="8"/>
  <c r="M14" i="8"/>
  <c r="M19" i="8" s="1"/>
  <c r="C6" i="8"/>
  <c r="C34" i="10" l="1"/>
  <c r="C36" i="10" s="1"/>
  <c r="C38" i="10" s="1"/>
  <c r="F27" i="9"/>
  <c r="F31" i="9" s="1"/>
  <c r="Q25" i="9"/>
  <c r="N25" i="9"/>
  <c r="C26" i="8"/>
  <c r="C30" i="8" s="1"/>
  <c r="O19" i="8"/>
  <c r="C23" i="7"/>
  <c r="H24" i="7"/>
  <c r="C23" i="6"/>
  <c r="H23" i="7"/>
  <c r="C27" i="6"/>
  <c r="C27" i="7"/>
  <c r="I18" i="7"/>
  <c r="L17" i="7"/>
  <c r="K17" i="7"/>
  <c r="J17" i="7"/>
  <c r="M17" i="7" s="1"/>
  <c r="C17" i="7"/>
  <c r="L16" i="7"/>
  <c r="K16" i="7"/>
  <c r="M16" i="7" s="1"/>
  <c r="J16" i="7"/>
  <c r="L15" i="7"/>
  <c r="K15" i="7"/>
  <c r="M15" i="7" s="1"/>
  <c r="J15" i="7"/>
  <c r="L14" i="7"/>
  <c r="K14" i="7"/>
  <c r="M14" i="7" s="1"/>
  <c r="J14" i="7"/>
  <c r="L13" i="7"/>
  <c r="L18" i="7" s="1"/>
  <c r="K13" i="7"/>
  <c r="M13" i="7" s="1"/>
  <c r="J13" i="7"/>
  <c r="J18" i="7" s="1"/>
  <c r="C6" i="7"/>
  <c r="K18" i="6"/>
  <c r="I18" i="6"/>
  <c r="L17" i="6"/>
  <c r="L18" i="6" s="1"/>
  <c r="K17" i="6"/>
  <c r="J17" i="6"/>
  <c r="C17" i="6"/>
  <c r="M16" i="6"/>
  <c r="L16" i="6"/>
  <c r="K16" i="6"/>
  <c r="J16" i="6"/>
  <c r="M15" i="6"/>
  <c r="L15" i="6"/>
  <c r="K15" i="6"/>
  <c r="J15" i="6"/>
  <c r="M14" i="6"/>
  <c r="L14" i="6"/>
  <c r="K14" i="6"/>
  <c r="J14" i="6"/>
  <c r="M13" i="6"/>
  <c r="L13" i="6"/>
  <c r="K13" i="6"/>
  <c r="J13" i="6"/>
  <c r="J18" i="6" s="1"/>
  <c r="C6" i="6"/>
  <c r="H27" i="9" l="1"/>
  <c r="H31" i="9" s="1"/>
  <c r="I27" i="9"/>
  <c r="I31" i="9" s="1"/>
  <c r="G27" i="9"/>
  <c r="G31" i="9" s="1"/>
  <c r="C32" i="8"/>
  <c r="C34" i="8" s="1"/>
  <c r="C36" i="8" s="1"/>
  <c r="C38" i="8" s="1"/>
  <c r="M18" i="7"/>
  <c r="C20" i="7" s="1"/>
  <c r="C25" i="7" s="1"/>
  <c r="C29" i="7" s="1"/>
  <c r="K18" i="7"/>
  <c r="M18" i="6"/>
  <c r="H24" i="6" s="1"/>
  <c r="C20" i="6" s="1"/>
  <c r="C25" i="6" s="1"/>
  <c r="C29" i="6" s="1"/>
  <c r="M17" i="6"/>
  <c r="C20" i="1"/>
  <c r="C20" i="5"/>
  <c r="H24" i="5"/>
  <c r="H23" i="5"/>
  <c r="M18" i="5"/>
  <c r="M17" i="5"/>
  <c r="M16" i="5"/>
  <c r="M15" i="5"/>
  <c r="M14" i="5"/>
  <c r="M13" i="5"/>
  <c r="L17" i="5"/>
  <c r="L16" i="5"/>
  <c r="L18" i="5" s="1"/>
  <c r="L15" i="5"/>
  <c r="L14" i="5"/>
  <c r="L13" i="5"/>
  <c r="K17" i="5"/>
  <c r="K16" i="5"/>
  <c r="K15" i="5"/>
  <c r="K14" i="5"/>
  <c r="K13" i="5"/>
  <c r="J18" i="5"/>
  <c r="J17" i="5"/>
  <c r="J16" i="5"/>
  <c r="J15" i="5"/>
  <c r="J14" i="5"/>
  <c r="J13" i="5"/>
  <c r="I18" i="5"/>
  <c r="J27" i="9" l="1"/>
  <c r="J31" i="9" s="1"/>
  <c r="C31" i="7"/>
  <c r="C33" i="7" s="1"/>
  <c r="C35" i="7" s="1"/>
  <c r="C37" i="7" s="1"/>
  <c r="C31" i="6"/>
  <c r="K18" i="5"/>
  <c r="C27" i="5"/>
  <c r="C17" i="5"/>
  <c r="C23" i="5"/>
  <c r="C6" i="5"/>
  <c r="C33" i="6" l="1"/>
  <c r="C35" i="6" s="1"/>
  <c r="C37" i="6" s="1"/>
  <c r="C25" i="5"/>
  <c r="C29" i="5" s="1"/>
  <c r="C27" i="1"/>
  <c r="L29" i="1"/>
  <c r="K29" i="1"/>
  <c r="C31" i="5" l="1"/>
  <c r="C33" i="5" s="1"/>
  <c r="C35" i="5" s="1"/>
  <c r="C37" i="5" s="1"/>
  <c r="C17" i="1"/>
  <c r="C23" i="1"/>
  <c r="C25" i="1" s="1"/>
  <c r="C6" i="1"/>
  <c r="C29" i="1" l="1"/>
  <c r="C31" i="1" s="1"/>
  <c r="C33" i="1" s="1"/>
  <c r="C35" i="1" s="1"/>
  <c r="C37" i="1" s="1"/>
  <c r="I33" i="9" l="1"/>
  <c r="E33" i="9"/>
  <c r="C33" i="9"/>
  <c r="H33" i="9"/>
  <c r="F33" i="9"/>
  <c r="G33" i="9" l="1"/>
  <c r="G35" i="9"/>
  <c r="E35" i="9"/>
  <c r="E37" i="9" s="1"/>
  <c r="E39" i="9" s="1"/>
  <c r="I35" i="9"/>
  <c r="I37" i="9" s="1"/>
  <c r="I39" i="9" s="1"/>
  <c r="H35" i="9"/>
  <c r="F35" i="9"/>
  <c r="F37" i="9" s="1"/>
  <c r="F39" i="9" s="1"/>
  <c r="H37" i="9"/>
  <c r="H39" i="9" s="1"/>
  <c r="J33" i="9"/>
  <c r="C35" i="9"/>
  <c r="C37" i="9" s="1"/>
  <c r="C39" i="9" s="1"/>
  <c r="D33" i="9"/>
  <c r="G37" i="9" l="1"/>
  <c r="G39" i="9" s="1"/>
  <c r="D35" i="9"/>
  <c r="D37" i="9" s="1"/>
  <c r="D39" i="9" s="1"/>
  <c r="J35" i="9"/>
  <c r="J37" i="9" s="1"/>
  <c r="J39" i="9" s="1"/>
  <c r="C41" i="9" l="1"/>
</calcChain>
</file>

<file path=xl/sharedStrings.xml><?xml version="1.0" encoding="utf-8"?>
<sst xmlns="http://schemas.openxmlformats.org/spreadsheetml/2006/main" count="406" uniqueCount="56">
  <si>
    <t>PROYECTO CASSA 2023</t>
  </si>
  <si>
    <t>FECHA:</t>
  </si>
  <si>
    <t>11 Y 12 DE ABRIL 2023</t>
  </si>
  <si>
    <t>PESO KG</t>
  </si>
  <si>
    <t>PRECIO KG</t>
  </si>
  <si>
    <t>PAGADO</t>
  </si>
  <si>
    <t>GASTOS</t>
  </si>
  <si>
    <t>COLABORADORES:</t>
  </si>
  <si>
    <t>VIATICOS:</t>
  </si>
  <si>
    <t>TRANSPORTE:</t>
  </si>
  <si>
    <t>AGUA</t>
  </si>
  <si>
    <t>MINI:</t>
  </si>
  <si>
    <t>HOTEL:</t>
  </si>
  <si>
    <t>UBER:</t>
  </si>
  <si>
    <t>FLETE:</t>
  </si>
  <si>
    <t>TOTAL GASTOS:</t>
  </si>
  <si>
    <t>COMPRA MAS GASTOS:</t>
  </si>
  <si>
    <t>TOTAL VENTA:</t>
  </si>
  <si>
    <t>UTILIDAD BRUTA</t>
  </si>
  <si>
    <t>SUPERVISION Y VIATICOS:</t>
  </si>
  <si>
    <t>DIA 1</t>
  </si>
  <si>
    <t>DIA 2</t>
  </si>
  <si>
    <t>ISR</t>
  </si>
  <si>
    <t>A REPARTIR</t>
  </si>
  <si>
    <t>CADA UNO</t>
  </si>
  <si>
    <t>PRESTACIONES:</t>
  </si>
  <si>
    <t>ADMINISTRACION:</t>
  </si>
  <si>
    <t>RESERVA LEGAL</t>
  </si>
  <si>
    <t>PAGADO $</t>
  </si>
  <si>
    <t>MERMA:</t>
  </si>
  <si>
    <t>ISSS</t>
  </si>
  <si>
    <t>VACACIONES</t>
  </si>
  <si>
    <t>AGUINALDO</t>
  </si>
  <si>
    <t>TOTAL PRESTACIONES</t>
  </si>
  <si>
    <t>SALARIO</t>
  </si>
  <si>
    <t>CARGO</t>
  </si>
  <si>
    <t>AUXILIAR</t>
  </si>
  <si>
    <t>OXICORTE</t>
  </si>
  <si>
    <t>ADMON</t>
  </si>
  <si>
    <t>TOTAL</t>
  </si>
  <si>
    <t>OXIGENO:</t>
  </si>
  <si>
    <t>PESA:</t>
  </si>
  <si>
    <t>GRUA</t>
  </si>
  <si>
    <t>PRECIO QQ</t>
  </si>
  <si>
    <t>*LATA INDUSTRIAL</t>
  </si>
  <si>
    <t>PROYECTO GRUPO ROBLE 2023</t>
  </si>
  <si>
    <t>MAQUINARIA:</t>
  </si>
  <si>
    <t>PESO QQ</t>
  </si>
  <si>
    <t>TOTAL DEL MES CADA UNO</t>
  </si>
  <si>
    <t>Luis</t>
  </si>
  <si>
    <t>Baby</t>
  </si>
  <si>
    <t>Omar</t>
  </si>
  <si>
    <t>Melvin</t>
  </si>
  <si>
    <t>PROYECTO INGENIO EL ANGEL 2023</t>
  </si>
  <si>
    <t>*DIRECTA LIVIANA</t>
  </si>
  <si>
    <t>PROYECTO INGENIO CHAPARRASTIQUE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</si>
</sst>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000;[Red]\-&quot;$&quot;#,##0.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0" fontId="0" fillId="0" borderId="0" xfId="0" applyAlignment="1">
      <alignment horizontal="left"/>
    </xf>
    <xf numFmtId="0" fontId="0" fillId="0" borderId="2" xfId="0" applyBorder="1"/>
    <xf numFmtId="164" fontId="0" fillId="0" borderId="3" xfId="0" applyNumberFormat="1" applyBorder="1"/>
    <xf numFmtId="0" fontId="2" fillId="0" borderId="2" xfId="0" applyFont="1" applyBorder="1"/>
    <xf numFmtId="0" fontId="2" fillId="0" borderId="1" xfId="0" applyFont="1" applyBorder="1"/>
    <xf numFmtId="8" fontId="0" fillId="0" borderId="0" xfId="0" applyNumberFormat="1"/>
    <xf numFmtId="44" fontId="0" fillId="0" borderId="4" xfId="1" applyFont="1" applyBorder="1"/>
    <xf numFmtId="44" fontId="0" fillId="0" borderId="5" xfId="1" applyFont="1" applyBorder="1"/>
    <xf numFmtId="44" fontId="0" fillId="2" borderId="1" xfId="1" applyFont="1" applyFill="1" applyBorder="1"/>
    <xf numFmtId="16" fontId="0" fillId="0" borderId="1" xfId="0" applyNumberFormat="1" applyBorder="1"/>
    <xf numFmtId="44" fontId="2" fillId="0" borderId="1" xfId="1" applyFont="1" applyBorder="1"/>
    <xf numFmtId="44" fontId="0" fillId="0" borderId="0" xfId="0" applyNumberFormat="1"/>
    <xf numFmtId="44" fontId="2" fillId="0" borderId="1" xfId="0" applyNumberFormat="1" applyFont="1" applyBorder="1"/>
    <xf numFmtId="44" fontId="0" fillId="0" borderId="0" xfId="1" applyFont="1" applyBorder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sqref="A1:F1"/>
    </sheetView>
  </sheetViews>
  <sheetFormatPr baseColWidth="10" defaultRowHeight="15" x14ac:dyDescent="0.25"/>
  <cols>
    <col min="1" max="1" width="17.42578125" customWidth="1"/>
    <col min="3" max="3" width="16.85546875" customWidth="1"/>
    <col min="4" max="4" width="17.85546875" customWidth="1"/>
  </cols>
  <sheetData>
    <row r="1" spans="1:6" ht="20.100000000000001" customHeight="1" x14ac:dyDescent="0.25">
      <c r="A1" s="21" t="s">
        <v>0</v>
      </c>
      <c r="B1" s="21"/>
      <c r="C1" s="21"/>
      <c r="D1" s="21"/>
      <c r="E1" s="21"/>
      <c r="F1" s="21"/>
    </row>
    <row r="2" spans="1:6" ht="20.100000000000001" customHeight="1" x14ac:dyDescent="0.25"/>
    <row r="3" spans="1:6" ht="20.100000000000001" customHeight="1" x14ac:dyDescent="0.25">
      <c r="A3" s="19" t="s">
        <v>1</v>
      </c>
      <c r="B3" s="19" t="s">
        <v>2</v>
      </c>
      <c r="C3" s="2"/>
    </row>
    <row r="4" spans="1:6" ht="20.100000000000001" customHeight="1" x14ac:dyDescent="0.25"/>
    <row r="5" spans="1:6" ht="20.100000000000001" customHeight="1" x14ac:dyDescent="0.25">
      <c r="A5" s="9" t="s">
        <v>3</v>
      </c>
      <c r="B5" s="9" t="s">
        <v>4</v>
      </c>
      <c r="C5" s="9" t="s">
        <v>28</v>
      </c>
    </row>
    <row r="6" spans="1:6" ht="20.100000000000001" customHeight="1" x14ac:dyDescent="0.25">
      <c r="A6" s="2"/>
      <c r="B6" s="2">
        <v>0.24</v>
      </c>
      <c r="C6" s="3"/>
    </row>
    <row r="7" spans="1:6" ht="20.100000000000001" customHeight="1" x14ac:dyDescent="0.25"/>
    <row r="8" spans="1:6" ht="20.100000000000001" customHeight="1" x14ac:dyDescent="0.25">
      <c r="A8" s="1" t="s">
        <v>6</v>
      </c>
      <c r="C8" s="9" t="s">
        <v>20</v>
      </c>
      <c r="D8" s="9" t="s">
        <v>21</v>
      </c>
    </row>
    <row r="9" spans="1:6" ht="20.100000000000001" customHeight="1" x14ac:dyDescent="0.25">
      <c r="A9" s="20" t="s">
        <v>14</v>
      </c>
      <c r="B9" s="20"/>
      <c r="C9" s="3"/>
      <c r="D9" s="3"/>
    </row>
    <row r="10" spans="1:6" ht="20.100000000000001" customHeight="1" x14ac:dyDescent="0.25">
      <c r="A10" s="20" t="s">
        <v>7</v>
      </c>
      <c r="B10" s="20"/>
      <c r="C10" s="3"/>
      <c r="D10" s="3"/>
    </row>
    <row r="11" spans="1:6" ht="20.100000000000001" customHeight="1" x14ac:dyDescent="0.25">
      <c r="A11" s="20" t="s">
        <v>8</v>
      </c>
      <c r="B11" s="20"/>
      <c r="C11" s="3"/>
      <c r="D11" s="3"/>
    </row>
    <row r="12" spans="1:6" ht="20.100000000000001" customHeight="1" x14ac:dyDescent="0.25">
      <c r="A12" s="20" t="s">
        <v>10</v>
      </c>
      <c r="B12" s="20"/>
      <c r="C12" s="3"/>
      <c r="D12" s="3"/>
    </row>
    <row r="13" spans="1:6" ht="20.100000000000001" customHeight="1" x14ac:dyDescent="0.25">
      <c r="A13" s="20" t="s">
        <v>9</v>
      </c>
      <c r="B13" s="20"/>
      <c r="C13" s="3"/>
      <c r="D13" s="3"/>
    </row>
    <row r="14" spans="1:6" ht="20.100000000000001" customHeight="1" x14ac:dyDescent="0.25">
      <c r="A14" s="20" t="s">
        <v>12</v>
      </c>
      <c r="B14" s="20"/>
      <c r="C14" s="3"/>
      <c r="D14" s="3"/>
    </row>
    <row r="15" spans="1:6" ht="20.100000000000001" customHeight="1" x14ac:dyDescent="0.25">
      <c r="A15" s="20" t="s">
        <v>11</v>
      </c>
      <c r="B15" s="20"/>
      <c r="C15" s="3"/>
      <c r="D15" s="3"/>
    </row>
    <row r="16" spans="1:6" ht="20.100000000000001" customHeight="1" x14ac:dyDescent="0.25">
      <c r="A16" s="20" t="s">
        <v>19</v>
      </c>
      <c r="B16" s="20"/>
      <c r="C16" s="3"/>
      <c r="D16" s="3"/>
    </row>
    <row r="17" spans="1:4" ht="20.100000000000001" customHeight="1" x14ac:dyDescent="0.25">
      <c r="A17" s="20" t="s">
        <v>13</v>
      </c>
      <c r="B17" s="20"/>
      <c r="C17" s="3"/>
      <c r="D17" s="3"/>
    </row>
    <row r="18" spans="1:4" ht="20.100000000000001" customHeight="1" x14ac:dyDescent="0.25">
      <c r="A18" s="20" t="s">
        <v>29</v>
      </c>
      <c r="B18" s="20"/>
      <c r="C18" s="3"/>
      <c r="D18" s="3"/>
    </row>
    <row r="19" spans="1:4" ht="20.100000000000001" customHeight="1" x14ac:dyDescent="0.25">
      <c r="A19" s="20" t="s">
        <v>25</v>
      </c>
      <c r="B19" s="20"/>
      <c r="C19" s="3"/>
      <c r="D19" s="3"/>
    </row>
    <row r="20" spans="1:4" ht="20.100000000000001" customHeight="1" x14ac:dyDescent="0.25">
      <c r="A20" s="20" t="s">
        <v>26</v>
      </c>
      <c r="B20" s="20"/>
      <c r="C20" s="3"/>
      <c r="D20" s="3"/>
    </row>
    <row r="21" spans="1:4" ht="20.100000000000001" customHeight="1" x14ac:dyDescent="0.25">
      <c r="A21" s="19" t="s">
        <v>15</v>
      </c>
      <c r="B21" s="19"/>
      <c r="C21" s="4"/>
    </row>
    <row r="22" spans="1:4" ht="20.100000000000001" customHeight="1" x14ac:dyDescent="0.25"/>
    <row r="23" spans="1:4" ht="20.100000000000001" customHeight="1" x14ac:dyDescent="0.25">
      <c r="A23" s="19" t="s">
        <v>16</v>
      </c>
      <c r="B23" s="19"/>
      <c r="C23" s="4"/>
    </row>
    <row r="24" spans="1:4" ht="20.100000000000001" customHeight="1" x14ac:dyDescent="0.25"/>
    <row r="25" spans="1:4" ht="20.100000000000001" customHeight="1" x14ac:dyDescent="0.25">
      <c r="A25" s="8" t="s">
        <v>17</v>
      </c>
      <c r="B25" s="7">
        <v>0.32500000000000001</v>
      </c>
      <c r="C25" s="3"/>
    </row>
    <row r="26" spans="1:4" ht="20.100000000000001" customHeight="1" x14ac:dyDescent="0.25"/>
    <row r="27" spans="1:4" ht="20.100000000000001" customHeight="1" x14ac:dyDescent="0.25">
      <c r="A27" s="19" t="s">
        <v>18</v>
      </c>
      <c r="B27" s="19"/>
      <c r="C27" s="4"/>
    </row>
    <row r="28" spans="1:4" ht="20.100000000000001" customHeight="1" x14ac:dyDescent="0.25"/>
    <row r="29" spans="1:4" ht="20.100000000000001" customHeight="1" x14ac:dyDescent="0.25">
      <c r="A29" s="19" t="s">
        <v>22</v>
      </c>
      <c r="B29" s="19"/>
      <c r="C29" s="4"/>
    </row>
    <row r="30" spans="1:4" ht="20.100000000000001" customHeight="1" x14ac:dyDescent="0.25">
      <c r="A30" s="5"/>
    </row>
    <row r="31" spans="1:4" ht="20.100000000000001" customHeight="1" x14ac:dyDescent="0.25">
      <c r="A31" s="19" t="s">
        <v>27</v>
      </c>
      <c r="B31" s="19"/>
      <c r="C31" s="4"/>
    </row>
    <row r="32" spans="1:4" ht="20.100000000000001" customHeight="1" x14ac:dyDescent="0.25">
      <c r="A32" s="5"/>
    </row>
    <row r="33" spans="1:3" ht="20.100000000000001" customHeight="1" x14ac:dyDescent="0.25">
      <c r="A33" s="19" t="s">
        <v>23</v>
      </c>
      <c r="B33" s="19"/>
      <c r="C33" s="4"/>
    </row>
    <row r="34" spans="1:3" ht="20.100000000000001" customHeight="1" x14ac:dyDescent="0.25">
      <c r="A34" s="5"/>
    </row>
    <row r="35" spans="1:3" ht="20.100000000000001" customHeight="1" x14ac:dyDescent="0.25">
      <c r="A35" s="19" t="s">
        <v>24</v>
      </c>
      <c r="B35" s="19"/>
      <c r="C35" s="3"/>
    </row>
  </sheetData>
  <mergeCells count="21">
    <mergeCell ref="A18:B18"/>
    <mergeCell ref="A1:F1"/>
    <mergeCell ref="A3:B3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1:B31"/>
    <mergeCell ref="A33:B33"/>
    <mergeCell ref="A35:B35"/>
    <mergeCell ref="A19:B19"/>
    <mergeCell ref="A20:B20"/>
    <mergeCell ref="A21:B21"/>
    <mergeCell ref="A23:B23"/>
    <mergeCell ref="A27:B27"/>
    <mergeCell ref="A29:B29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4" workbookViewId="0">
      <selection activeCell="T11" sqref="T11"/>
    </sheetView>
  </sheetViews>
  <sheetFormatPr baseColWidth="10" defaultRowHeight="15" x14ac:dyDescent="0.25"/>
  <cols>
    <col min="1" max="1" width="17.42578125" customWidth="1"/>
    <col min="3" max="3" width="12" customWidth="1"/>
    <col min="4" max="4" width="10.5703125" bestFit="1" customWidth="1"/>
    <col min="6" max="6" width="11.5703125" customWidth="1"/>
    <col min="16" max="16" width="20.28515625" bestFit="1" customWidth="1"/>
  </cols>
  <sheetData>
    <row r="1" spans="1:16" ht="20.100000000000001" customHeight="1" x14ac:dyDescent="0.25">
      <c r="A1" s="21" t="s">
        <v>55</v>
      </c>
      <c r="B1" s="21"/>
      <c r="C1" s="21"/>
      <c r="D1" s="21"/>
      <c r="E1" s="21"/>
      <c r="F1" s="21"/>
      <c r="G1" s="21"/>
      <c r="H1" s="21"/>
      <c r="I1" s="21"/>
    </row>
    <row r="2" spans="1:16" ht="20.100000000000001" customHeight="1" x14ac:dyDescent="0.25"/>
    <row r="3" spans="1:16" ht="20.100000000000001" customHeight="1" x14ac:dyDescent="0.25">
      <c r="A3" s="20" t="s">
        <v>1</v>
      </c>
      <c r="B3" s="20" t="s">
        <v>2</v>
      </c>
      <c r="C3" s="14">
        <v>45106</v>
      </c>
    </row>
    <row r="4" spans="1:16" ht="20.100000000000001" customHeight="1" x14ac:dyDescent="0.25">
      <c r="K4">
        <v>283.8</v>
      </c>
      <c r="L4">
        <v>647.98</v>
      </c>
      <c r="M4">
        <v>131.4</v>
      </c>
      <c r="N4">
        <v>108.4</v>
      </c>
      <c r="O4">
        <v>153.80000000000001</v>
      </c>
      <c r="P4">
        <v>111.2</v>
      </c>
    </row>
    <row r="5" spans="1:16" ht="20.100000000000001" customHeight="1" x14ac:dyDescent="0.25">
      <c r="A5" s="2" t="s">
        <v>3</v>
      </c>
      <c r="B5" s="2" t="s">
        <v>4</v>
      </c>
      <c r="C5" s="2" t="s">
        <v>5</v>
      </c>
    </row>
    <row r="6" spans="1:16" ht="20.100000000000001" customHeight="1" x14ac:dyDescent="0.25">
      <c r="A6" s="2">
        <v>29490</v>
      </c>
      <c r="B6" s="2">
        <v>0.24</v>
      </c>
      <c r="C6" s="3">
        <f>+A6*B6</f>
        <v>7077.5999999999995</v>
      </c>
      <c r="K6">
        <f>+C6*0.13</f>
        <v>920.08799999999997</v>
      </c>
      <c r="L6" s="16">
        <f>+C6+K6</f>
        <v>7997.6879999999992</v>
      </c>
      <c r="M6">
        <f>3168.4+11132.84</f>
        <v>14301.24</v>
      </c>
    </row>
    <row r="7" spans="1:16" ht="20.100000000000001" customHeight="1" x14ac:dyDescent="0.25"/>
    <row r="8" spans="1:16" ht="20.100000000000001" customHeight="1" x14ac:dyDescent="0.25"/>
    <row r="9" spans="1:16" ht="20.100000000000001" customHeight="1" x14ac:dyDescent="0.25">
      <c r="A9" s="1" t="s">
        <v>6</v>
      </c>
      <c r="C9" s="14">
        <v>45105</v>
      </c>
      <c r="D9" s="14">
        <v>45106</v>
      </c>
      <c r="E9" s="14"/>
      <c r="F9" s="14"/>
      <c r="G9" s="14"/>
      <c r="H9" s="14"/>
      <c r="I9" s="14"/>
    </row>
    <row r="10" spans="1:16" ht="20.100000000000001" customHeight="1" x14ac:dyDescent="0.25">
      <c r="A10" s="20" t="s">
        <v>14</v>
      </c>
      <c r="B10" s="20"/>
      <c r="C10" s="3">
        <v>0</v>
      </c>
      <c r="D10" s="3">
        <v>400</v>
      </c>
      <c r="E10" s="3"/>
      <c r="F10" s="3"/>
      <c r="G10" s="3"/>
      <c r="H10" s="3"/>
      <c r="I10" s="3"/>
    </row>
    <row r="11" spans="1:16" ht="20.100000000000001" customHeight="1" x14ac:dyDescent="0.25">
      <c r="A11" s="20" t="s">
        <v>42</v>
      </c>
      <c r="B11" s="20"/>
      <c r="C11" s="3">
        <v>0</v>
      </c>
      <c r="D11" s="11">
        <v>0</v>
      </c>
      <c r="E11" s="11"/>
      <c r="F11" s="11"/>
      <c r="G11" s="11"/>
      <c r="H11" s="11"/>
      <c r="I11" s="11"/>
    </row>
    <row r="12" spans="1:16" ht="20.100000000000001" customHeight="1" x14ac:dyDescent="0.25">
      <c r="A12" s="20" t="s">
        <v>7</v>
      </c>
      <c r="B12" s="20"/>
      <c r="C12" s="11">
        <f>15+20+15+30</f>
        <v>80</v>
      </c>
      <c r="D12" s="11">
        <v>50</v>
      </c>
      <c r="E12" s="11"/>
      <c r="F12" s="11"/>
      <c r="G12" s="11"/>
      <c r="H12" s="11"/>
      <c r="I12" s="11"/>
    </row>
    <row r="13" spans="1:16" ht="20.100000000000001" customHeight="1" x14ac:dyDescent="0.25">
      <c r="A13" s="20" t="s">
        <v>8</v>
      </c>
      <c r="B13" s="22"/>
      <c r="C13" s="13">
        <v>27</v>
      </c>
      <c r="D13" s="13">
        <v>18</v>
      </c>
      <c r="E13" s="13"/>
      <c r="F13" s="13"/>
      <c r="G13" s="13"/>
      <c r="H13" s="13"/>
      <c r="I13" s="13"/>
      <c r="K13" s="9" t="s">
        <v>35</v>
      </c>
      <c r="L13" s="9" t="s">
        <v>34</v>
      </c>
      <c r="M13" s="9" t="s">
        <v>30</v>
      </c>
      <c r="N13" s="9" t="s">
        <v>31</v>
      </c>
      <c r="O13" s="9" t="s">
        <v>32</v>
      </c>
      <c r="P13" s="9" t="s">
        <v>33</v>
      </c>
    </row>
    <row r="14" spans="1:16" ht="20.100000000000001" customHeight="1" x14ac:dyDescent="0.25">
      <c r="A14" s="20" t="s">
        <v>10</v>
      </c>
      <c r="B14" s="20"/>
      <c r="C14" s="12">
        <v>5</v>
      </c>
      <c r="D14" s="12">
        <v>5</v>
      </c>
      <c r="E14" s="12"/>
      <c r="F14" s="12"/>
      <c r="G14" s="12"/>
      <c r="H14" s="12"/>
      <c r="I14" s="12"/>
      <c r="K14" s="2" t="s">
        <v>36</v>
      </c>
      <c r="L14" s="3">
        <v>365</v>
      </c>
      <c r="M14" s="3">
        <f>+L14*7.5%</f>
        <v>27.375</v>
      </c>
      <c r="N14" s="3">
        <f>((L14/2*0.3)+L14/2)/365*30</f>
        <v>19.5</v>
      </c>
      <c r="O14" s="3">
        <f>(L14/2)/365*30</f>
        <v>15</v>
      </c>
      <c r="P14" s="3">
        <f>SUM(M14:O14)</f>
        <v>61.875</v>
      </c>
    </row>
    <row r="15" spans="1:16" ht="20.100000000000001" customHeight="1" x14ac:dyDescent="0.25">
      <c r="A15" s="20" t="s">
        <v>9</v>
      </c>
      <c r="B15" s="20"/>
      <c r="C15" s="3">
        <v>50</v>
      </c>
      <c r="D15" s="3">
        <v>50</v>
      </c>
      <c r="E15" s="3"/>
      <c r="F15" s="3"/>
      <c r="G15" s="3"/>
      <c r="H15" s="3"/>
      <c r="I15" s="3"/>
      <c r="K15" s="2" t="s">
        <v>36</v>
      </c>
      <c r="L15" s="3">
        <v>365</v>
      </c>
      <c r="M15" s="3">
        <f t="shared" ref="M15:M18" si="0">+L15*7.5%</f>
        <v>27.375</v>
      </c>
      <c r="N15" s="3">
        <f>((L15/2*0.3)+L15/2)/365*30</f>
        <v>19.5</v>
      </c>
      <c r="O15" s="3">
        <f t="shared" ref="O15:O18" si="1">(L15/2)/365*30</f>
        <v>15</v>
      </c>
      <c r="P15" s="3">
        <f t="shared" ref="P15:P18" si="2">SUM(M15:O15)</f>
        <v>61.875</v>
      </c>
    </row>
    <row r="16" spans="1:16" ht="20.100000000000001" customHeight="1" x14ac:dyDescent="0.25">
      <c r="A16" s="20" t="s">
        <v>40</v>
      </c>
      <c r="B16" s="20"/>
      <c r="C16" s="3">
        <v>0</v>
      </c>
      <c r="D16" s="3">
        <v>0</v>
      </c>
      <c r="E16" s="3"/>
      <c r="F16" s="3"/>
      <c r="G16" s="3"/>
      <c r="H16" s="3"/>
      <c r="I16" s="3"/>
      <c r="K16" s="2" t="s">
        <v>36</v>
      </c>
      <c r="L16" s="3">
        <v>450</v>
      </c>
      <c r="M16" s="3">
        <f t="shared" si="0"/>
        <v>33.75</v>
      </c>
      <c r="N16" s="3">
        <f>((L16/2*0.3)+L16/2)/365*30</f>
        <v>24.041095890410958</v>
      </c>
      <c r="O16" s="3">
        <f t="shared" si="1"/>
        <v>18.493150684931507</v>
      </c>
      <c r="P16" s="3">
        <f t="shared" si="2"/>
        <v>76.284246575342465</v>
      </c>
    </row>
    <row r="17" spans="1:16" ht="20.100000000000001" customHeight="1" x14ac:dyDescent="0.25">
      <c r="A17" s="20" t="s">
        <v>41</v>
      </c>
      <c r="B17" s="20"/>
      <c r="C17" s="3">
        <v>0</v>
      </c>
      <c r="D17" s="3">
        <v>0</v>
      </c>
      <c r="E17" s="3"/>
      <c r="F17" s="3"/>
      <c r="G17" s="3"/>
      <c r="H17" s="3"/>
      <c r="I17" s="3"/>
      <c r="K17" s="2" t="s">
        <v>37</v>
      </c>
      <c r="L17" s="3">
        <v>525</v>
      </c>
      <c r="M17" s="3">
        <f t="shared" si="0"/>
        <v>39.375</v>
      </c>
      <c r="N17" s="3">
        <f>((L17/2*0.3)+L17/2)/365*30</f>
        <v>28.047945205479451</v>
      </c>
      <c r="O17" s="3">
        <f t="shared" si="1"/>
        <v>21.575342465753423</v>
      </c>
      <c r="P17" s="3">
        <f t="shared" si="2"/>
        <v>88.998287671232873</v>
      </c>
    </row>
    <row r="18" spans="1:16" ht="20.100000000000001" customHeight="1" x14ac:dyDescent="0.25">
      <c r="A18" s="20" t="s">
        <v>19</v>
      </c>
      <c r="B18" s="20"/>
      <c r="C18" s="3">
        <v>50</v>
      </c>
      <c r="D18" s="3">
        <v>50</v>
      </c>
      <c r="E18" s="3"/>
      <c r="F18" s="3"/>
      <c r="G18" s="3"/>
      <c r="H18" s="3"/>
      <c r="I18" s="3"/>
      <c r="K18" s="2" t="s">
        <v>38</v>
      </c>
      <c r="L18" s="3">
        <v>100</v>
      </c>
      <c r="M18" s="3">
        <f t="shared" si="0"/>
        <v>7.5</v>
      </c>
      <c r="N18" s="3">
        <f>((L18/2*0.3)+L18/2)/365*30</f>
        <v>5.3424657534246576</v>
      </c>
      <c r="O18" s="3">
        <f t="shared" si="1"/>
        <v>4.10958904109589</v>
      </c>
      <c r="P18" s="3">
        <f t="shared" si="2"/>
        <v>16.952054794520549</v>
      </c>
    </row>
    <row r="19" spans="1:16" ht="20.100000000000001" customHeight="1" x14ac:dyDescent="0.25">
      <c r="A19" s="20" t="s">
        <v>13</v>
      </c>
      <c r="B19" s="20"/>
      <c r="C19" s="3">
        <v>10</v>
      </c>
      <c r="D19" s="3">
        <v>0</v>
      </c>
      <c r="E19" s="3"/>
      <c r="F19" s="3"/>
      <c r="G19" s="3"/>
      <c r="H19" s="3"/>
      <c r="I19" s="3"/>
      <c r="K19" s="9" t="s">
        <v>39</v>
      </c>
      <c r="L19" s="15">
        <f>SUM(L14:L18)</f>
        <v>1805</v>
      </c>
      <c r="M19" s="15">
        <f>SUM(M14:M18)</f>
        <v>135.375</v>
      </c>
      <c r="N19" s="15">
        <f>SUM(N14:N18)</f>
        <v>96.43150684931507</v>
      </c>
      <c r="O19" s="15">
        <f>SUM(O14:O18)</f>
        <v>74.178082191780817</v>
      </c>
      <c r="P19" s="15">
        <f>SUM(P14:P18)</f>
        <v>305.98458904109589</v>
      </c>
    </row>
    <row r="20" spans="1:16" ht="20.100000000000001" customHeight="1" x14ac:dyDescent="0.25">
      <c r="A20" s="20" t="s">
        <v>12</v>
      </c>
      <c r="B20" s="20"/>
      <c r="C20" s="3">
        <v>17</v>
      </c>
      <c r="D20" s="3">
        <v>0</v>
      </c>
      <c r="E20" s="3"/>
      <c r="F20" s="3"/>
      <c r="G20" s="3"/>
      <c r="H20" s="3"/>
      <c r="I20" s="3"/>
    </row>
    <row r="21" spans="1:16" ht="20.100000000000001" customHeight="1" x14ac:dyDescent="0.25">
      <c r="A21" s="20" t="s">
        <v>25</v>
      </c>
      <c r="B21" s="20"/>
      <c r="C21" s="3">
        <f>+C6*P24</f>
        <v>46.376352386604282</v>
      </c>
      <c r="D21" s="3">
        <v>0</v>
      </c>
      <c r="E21" s="3"/>
      <c r="F21" s="3"/>
      <c r="G21" s="3"/>
      <c r="H21" s="3"/>
      <c r="I21" s="3"/>
    </row>
    <row r="22" spans="1:16" ht="20.100000000000001" customHeight="1" x14ac:dyDescent="0.25">
      <c r="A22" s="20" t="s">
        <v>26</v>
      </c>
      <c r="B22" s="20"/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</row>
    <row r="23" spans="1:16" ht="20.100000000000001" customHeight="1" x14ac:dyDescent="0.25"/>
    <row r="24" spans="1:16" ht="20.100000000000001" customHeight="1" x14ac:dyDescent="0.25">
      <c r="A24" s="20" t="s">
        <v>15</v>
      </c>
      <c r="B24" s="20"/>
      <c r="C24" s="4">
        <f>SUM(C10:I22)</f>
        <v>858.37635238660425</v>
      </c>
      <c r="K24">
        <f>+A6+'1'!A6</f>
        <v>54810</v>
      </c>
      <c r="M24">
        <f>+P19/30</f>
        <v>10.199486301369863</v>
      </c>
      <c r="P24">
        <f>+P19/46697</f>
        <v>6.5525534625585349E-3</v>
      </c>
    </row>
    <row r="25" spans="1:16" ht="20.100000000000001" customHeight="1" x14ac:dyDescent="0.25">
      <c r="K25">
        <f>+'3'!H24</f>
        <v>1.2171224703305325E-2</v>
      </c>
    </row>
    <row r="26" spans="1:16" ht="20.100000000000001" customHeight="1" x14ac:dyDescent="0.25">
      <c r="A26" s="20" t="s">
        <v>16</v>
      </c>
      <c r="B26" s="20"/>
      <c r="C26" s="4">
        <f>+C24+C6</f>
        <v>7935.976352386604</v>
      </c>
    </row>
    <row r="27" spans="1:16" ht="20.100000000000001" customHeight="1" x14ac:dyDescent="0.25"/>
    <row r="28" spans="1:16" ht="20.100000000000001" customHeight="1" x14ac:dyDescent="0.25">
      <c r="A28" s="6" t="s">
        <v>17</v>
      </c>
      <c r="B28" s="7">
        <v>0.29499999999999998</v>
      </c>
      <c r="C28" s="3">
        <f>+A6*B28</f>
        <v>8699.5499999999993</v>
      </c>
      <c r="D28" s="18" t="s">
        <v>54</v>
      </c>
      <c r="K28">
        <v>280.05342830000001</v>
      </c>
      <c r="L28">
        <v>10.91</v>
      </c>
    </row>
    <row r="29" spans="1:16" ht="20.100000000000001" customHeight="1" x14ac:dyDescent="0.25"/>
    <row r="30" spans="1:16" ht="20.100000000000001" customHeight="1" x14ac:dyDescent="0.25">
      <c r="A30" s="20" t="s">
        <v>18</v>
      </c>
      <c r="B30" s="20"/>
      <c r="C30" s="4">
        <f>+C28-C26</f>
        <v>763.57364761339522</v>
      </c>
      <c r="O30" s="10"/>
    </row>
    <row r="31" spans="1:16" ht="20.100000000000001" customHeight="1" x14ac:dyDescent="0.25"/>
    <row r="32" spans="1:16" ht="20.100000000000001" customHeight="1" x14ac:dyDescent="0.25">
      <c r="A32" s="20" t="s">
        <v>22</v>
      </c>
      <c r="B32" s="20"/>
      <c r="C32" s="4">
        <f>C30*0.3</f>
        <v>229.07209428401856</v>
      </c>
    </row>
    <row r="33" spans="1:9" ht="20.100000000000001" customHeight="1" x14ac:dyDescent="0.25">
      <c r="A33" s="5"/>
    </row>
    <row r="34" spans="1:9" ht="20.100000000000001" customHeight="1" x14ac:dyDescent="0.25">
      <c r="A34" s="20" t="s">
        <v>27</v>
      </c>
      <c r="B34" s="20"/>
      <c r="C34" s="4">
        <f>(C30-C32)*7%</f>
        <v>37.415108733056371</v>
      </c>
    </row>
    <row r="35" spans="1:9" ht="20.100000000000001" customHeight="1" x14ac:dyDescent="0.25">
      <c r="A35" s="5"/>
      <c r="I35">
        <f>15+20+15+5+27+17+10+30</f>
        <v>139</v>
      </c>
    </row>
    <row r="36" spans="1:9" ht="20.100000000000001" customHeight="1" x14ac:dyDescent="0.25">
      <c r="A36" s="20" t="s">
        <v>23</v>
      </c>
      <c r="B36" s="20"/>
      <c r="C36" s="4">
        <f>+C30-C32-C34</f>
        <v>497.08644459632023</v>
      </c>
      <c r="I36">
        <f>15+20+15+5+18+400</f>
        <v>473</v>
      </c>
    </row>
    <row r="37" spans="1:9" ht="20.100000000000001" customHeight="1" x14ac:dyDescent="0.25">
      <c r="A37" s="5"/>
    </row>
    <row r="38" spans="1:9" ht="20.100000000000001" customHeight="1" x14ac:dyDescent="0.25">
      <c r="A38" s="20" t="s">
        <v>24</v>
      </c>
      <c r="B38" s="20"/>
      <c r="C38" s="3">
        <f>+C36/3</f>
        <v>165.69548153210675</v>
      </c>
    </row>
  </sheetData>
  <mergeCells count="22">
    <mergeCell ref="A19:B19"/>
    <mergeCell ref="A1:I1"/>
    <mergeCell ref="A3:B3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32:B32"/>
    <mergeCell ref="A34:B34"/>
    <mergeCell ref="A36:B36"/>
    <mergeCell ref="A38:B38"/>
    <mergeCell ref="A20:B20"/>
    <mergeCell ref="A21:B21"/>
    <mergeCell ref="A22:B22"/>
    <mergeCell ref="A24:B24"/>
    <mergeCell ref="A26:B26"/>
    <mergeCell ref="A30:B30"/>
  </mergeCells>
  <pageMargins left="0.7" right="0.7" top="0.75" bottom="0.75" header="0.3" footer="0.3"/>
  <pageSetup scale="4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baseColWidth="10" defaultRowHeight="15" x14ac:dyDescent="0.25"/>
  <sheetData/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workbookViewId="0">
      <selection sqref="A1:F1"/>
    </sheetView>
  </sheetViews>
  <sheetFormatPr baseColWidth="10" defaultRowHeight="15" x14ac:dyDescent="0.25"/>
  <cols>
    <col min="1" max="1" width="17.42578125" customWidth="1"/>
    <col min="3" max="3" width="16.85546875" customWidth="1"/>
    <col min="4" max="4" width="17.85546875" customWidth="1"/>
  </cols>
  <sheetData>
    <row r="1" spans="1:6" ht="20.100000000000001" customHeight="1" x14ac:dyDescent="0.25">
      <c r="A1" s="21" t="s">
        <v>0</v>
      </c>
      <c r="B1" s="21"/>
      <c r="C1" s="21"/>
      <c r="D1" s="21"/>
      <c r="E1" s="21"/>
      <c r="F1" s="21"/>
    </row>
    <row r="2" spans="1:6" ht="20.100000000000001" customHeight="1" x14ac:dyDescent="0.25"/>
    <row r="3" spans="1:6" ht="20.100000000000001" customHeight="1" x14ac:dyDescent="0.25">
      <c r="A3" s="20" t="s">
        <v>1</v>
      </c>
      <c r="B3" s="20" t="s">
        <v>2</v>
      </c>
      <c r="C3" s="2"/>
    </row>
    <row r="4" spans="1:6" ht="20.100000000000001" customHeight="1" x14ac:dyDescent="0.25"/>
    <row r="5" spans="1:6" ht="20.100000000000001" customHeight="1" x14ac:dyDescent="0.25">
      <c r="A5" s="2" t="s">
        <v>3</v>
      </c>
      <c r="B5" s="2" t="s">
        <v>4</v>
      </c>
      <c r="C5" s="2" t="s">
        <v>5</v>
      </c>
    </row>
    <row r="6" spans="1:6" ht="20.100000000000001" customHeight="1" x14ac:dyDescent="0.25">
      <c r="A6" s="2">
        <v>25320</v>
      </c>
      <c r="B6" s="2">
        <v>0.24</v>
      </c>
      <c r="C6" s="3">
        <f>+A6*B6</f>
        <v>6076.8</v>
      </c>
    </row>
    <row r="7" spans="1:6" ht="20.100000000000001" customHeight="1" x14ac:dyDescent="0.25"/>
    <row r="8" spans="1:6" ht="20.100000000000001" customHeight="1" x14ac:dyDescent="0.25"/>
    <row r="9" spans="1:6" ht="20.100000000000001" customHeight="1" x14ac:dyDescent="0.25">
      <c r="A9" s="1" t="s">
        <v>6</v>
      </c>
      <c r="C9" s="2" t="s">
        <v>20</v>
      </c>
      <c r="D9" s="2" t="s">
        <v>21</v>
      </c>
    </row>
    <row r="10" spans="1:6" ht="20.100000000000001" customHeight="1" x14ac:dyDescent="0.25">
      <c r="A10" s="20" t="s">
        <v>14</v>
      </c>
      <c r="B10" s="20"/>
      <c r="C10" s="3">
        <v>0</v>
      </c>
      <c r="D10" s="3">
        <v>275</v>
      </c>
    </row>
    <row r="11" spans="1:6" ht="20.100000000000001" customHeight="1" x14ac:dyDescent="0.25">
      <c r="A11" s="20" t="s">
        <v>7</v>
      </c>
      <c r="B11" s="20"/>
      <c r="C11" s="3">
        <v>39</v>
      </c>
      <c r="D11" s="3">
        <v>39</v>
      </c>
    </row>
    <row r="12" spans="1:6" ht="20.100000000000001" customHeight="1" x14ac:dyDescent="0.25">
      <c r="A12" s="20" t="s">
        <v>8</v>
      </c>
      <c r="B12" s="20"/>
      <c r="C12" s="13">
        <v>22.5</v>
      </c>
      <c r="D12" s="13">
        <v>15</v>
      </c>
    </row>
    <row r="13" spans="1:6" ht="20.100000000000001" customHeight="1" x14ac:dyDescent="0.25">
      <c r="A13" s="20" t="s">
        <v>10</v>
      </c>
      <c r="B13" s="20"/>
      <c r="C13" s="3">
        <v>6</v>
      </c>
      <c r="D13" s="3">
        <v>0</v>
      </c>
    </row>
    <row r="14" spans="1:6" ht="20.100000000000001" customHeight="1" x14ac:dyDescent="0.25">
      <c r="A14" s="20" t="s">
        <v>9</v>
      </c>
      <c r="B14" s="20"/>
      <c r="C14" s="3">
        <v>30</v>
      </c>
      <c r="D14" s="3">
        <v>0</v>
      </c>
    </row>
    <row r="15" spans="1:6" ht="20.100000000000001" customHeight="1" x14ac:dyDescent="0.25">
      <c r="A15" s="20" t="s">
        <v>12</v>
      </c>
      <c r="B15" s="20"/>
      <c r="C15" s="3">
        <v>15.5</v>
      </c>
      <c r="D15" s="3">
        <v>0</v>
      </c>
    </row>
    <row r="16" spans="1:6" ht="20.100000000000001" customHeight="1" x14ac:dyDescent="0.25">
      <c r="A16" s="20" t="s">
        <v>11</v>
      </c>
      <c r="B16" s="20"/>
      <c r="C16" s="3">
        <v>20</v>
      </c>
      <c r="D16" s="3">
        <v>20</v>
      </c>
    </row>
    <row r="17" spans="1:12" ht="20.100000000000001" customHeight="1" x14ac:dyDescent="0.25">
      <c r="A17" s="20" t="s">
        <v>19</v>
      </c>
      <c r="B17" s="20"/>
      <c r="C17" s="3">
        <f>40+26</f>
        <v>66</v>
      </c>
      <c r="D17" s="3">
        <v>0</v>
      </c>
    </row>
    <row r="18" spans="1:12" ht="20.100000000000001" customHeight="1" x14ac:dyDescent="0.25">
      <c r="A18" s="20" t="s">
        <v>13</v>
      </c>
      <c r="B18" s="20"/>
      <c r="C18" s="3">
        <v>10</v>
      </c>
      <c r="D18" s="3">
        <v>10</v>
      </c>
    </row>
    <row r="19" spans="1:12" ht="20.100000000000001" customHeight="1" x14ac:dyDescent="0.25">
      <c r="A19" s="20" t="s">
        <v>29</v>
      </c>
      <c r="B19" s="20"/>
      <c r="C19" s="3">
        <v>50.4</v>
      </c>
      <c r="D19" s="3">
        <v>0</v>
      </c>
    </row>
    <row r="20" spans="1:12" ht="20.100000000000001" customHeight="1" x14ac:dyDescent="0.25">
      <c r="A20" s="20" t="s">
        <v>25</v>
      </c>
      <c r="B20" s="20"/>
      <c r="C20" s="3">
        <f>+A6*'2'!H24</f>
        <v>224.17620933219177</v>
      </c>
      <c r="D20" s="3">
        <v>0</v>
      </c>
    </row>
    <row r="21" spans="1:12" ht="20.100000000000001" customHeight="1" x14ac:dyDescent="0.25">
      <c r="A21" s="20" t="s">
        <v>26</v>
      </c>
      <c r="B21" s="20"/>
      <c r="C21" s="3">
        <v>50</v>
      </c>
      <c r="D21" s="3">
        <v>0</v>
      </c>
    </row>
    <row r="22" spans="1:12" ht="20.100000000000001" customHeight="1" x14ac:dyDescent="0.25"/>
    <row r="23" spans="1:12" ht="20.100000000000001" customHeight="1" x14ac:dyDescent="0.25">
      <c r="A23" s="20" t="s">
        <v>15</v>
      </c>
      <c r="B23" s="20"/>
      <c r="C23" s="4">
        <f>SUM(C10:F22)</f>
        <v>892.57620933219175</v>
      </c>
    </row>
    <row r="24" spans="1:12" ht="20.100000000000001" customHeight="1" x14ac:dyDescent="0.25"/>
    <row r="25" spans="1:12" ht="20.100000000000001" customHeight="1" x14ac:dyDescent="0.25">
      <c r="A25" s="20" t="s">
        <v>16</v>
      </c>
      <c r="B25" s="20"/>
      <c r="C25" s="4">
        <f>+C23+C6</f>
        <v>6969.376209332192</v>
      </c>
    </row>
    <row r="26" spans="1:12" ht="20.100000000000001" customHeight="1" x14ac:dyDescent="0.25"/>
    <row r="27" spans="1:12" ht="20.100000000000001" customHeight="1" x14ac:dyDescent="0.25">
      <c r="A27" s="6" t="s">
        <v>17</v>
      </c>
      <c r="B27" s="7">
        <v>0.315</v>
      </c>
      <c r="C27" s="3">
        <f>+B27*(A6-160)</f>
        <v>7925.4</v>
      </c>
      <c r="K27">
        <v>25160</v>
      </c>
    </row>
    <row r="28" spans="1:12" ht="20.100000000000001" customHeight="1" x14ac:dyDescent="0.25">
      <c r="K28">
        <v>25320</v>
      </c>
    </row>
    <row r="29" spans="1:12" ht="20.100000000000001" customHeight="1" x14ac:dyDescent="0.25">
      <c r="A29" s="20" t="s">
        <v>18</v>
      </c>
      <c r="B29" s="20"/>
      <c r="C29" s="4">
        <f>+C27-C25</f>
        <v>956.02379066780759</v>
      </c>
      <c r="K29">
        <f>+K28-K27</f>
        <v>160</v>
      </c>
      <c r="L29" s="10">
        <f>+K29*B27</f>
        <v>50.4</v>
      </c>
    </row>
    <row r="30" spans="1:12" ht="20.100000000000001" customHeight="1" x14ac:dyDescent="0.25"/>
    <row r="31" spans="1:12" ht="20.100000000000001" customHeight="1" x14ac:dyDescent="0.25">
      <c r="A31" s="20" t="s">
        <v>22</v>
      </c>
      <c r="B31" s="20"/>
      <c r="C31" s="4">
        <f>C29*0.3</f>
        <v>286.80713720034225</v>
      </c>
    </row>
    <row r="32" spans="1:12" ht="20.100000000000001" customHeight="1" x14ac:dyDescent="0.25">
      <c r="A32" s="5"/>
    </row>
    <row r="33" spans="1:3" ht="20.100000000000001" customHeight="1" x14ac:dyDescent="0.25">
      <c r="A33" s="20" t="s">
        <v>27</v>
      </c>
      <c r="B33" s="20"/>
      <c r="C33" s="4">
        <f>(C29-C31)*7%</f>
        <v>46.845165742722578</v>
      </c>
    </row>
    <row r="34" spans="1:3" ht="20.100000000000001" customHeight="1" x14ac:dyDescent="0.25">
      <c r="A34" s="5"/>
    </row>
    <row r="35" spans="1:3" ht="20.100000000000001" customHeight="1" x14ac:dyDescent="0.25">
      <c r="A35" s="20" t="s">
        <v>23</v>
      </c>
      <c r="B35" s="20"/>
      <c r="C35" s="4">
        <f>+C29-C31-C33</f>
        <v>622.37148772474279</v>
      </c>
    </row>
    <row r="36" spans="1:3" ht="20.100000000000001" customHeight="1" x14ac:dyDescent="0.25">
      <c r="A36" s="5"/>
    </row>
    <row r="37" spans="1:3" ht="20.100000000000001" customHeight="1" x14ac:dyDescent="0.25">
      <c r="A37" s="20" t="s">
        <v>24</v>
      </c>
      <c r="B37" s="20"/>
      <c r="C37" s="3">
        <f>+C35/3</f>
        <v>207.45716257491426</v>
      </c>
    </row>
  </sheetData>
  <mergeCells count="21">
    <mergeCell ref="A33:B33"/>
    <mergeCell ref="A35:B35"/>
    <mergeCell ref="A37:B37"/>
    <mergeCell ref="A21:B21"/>
    <mergeCell ref="A23:B23"/>
    <mergeCell ref="A25:B25"/>
    <mergeCell ref="A29:B29"/>
    <mergeCell ref="A31:B31"/>
    <mergeCell ref="A20:B20"/>
    <mergeCell ref="A1:F1"/>
    <mergeCell ref="A10:B10"/>
    <mergeCell ref="A11:B11"/>
    <mergeCell ref="A12:B12"/>
    <mergeCell ref="A13:B13"/>
    <mergeCell ref="A14:B14"/>
    <mergeCell ref="A3:B3"/>
    <mergeCell ref="A15:B15"/>
    <mergeCell ref="A16:B16"/>
    <mergeCell ref="A17:B17"/>
    <mergeCell ref="A18:B18"/>
    <mergeCell ref="A19:B19"/>
  </mergeCells>
  <pageMargins left="0.7" right="0.7" top="0.75" bottom="0.75" header="0.3" footer="0.3"/>
  <pageSetup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opLeftCell="A21" workbookViewId="0">
      <selection activeCell="D40" sqref="D40"/>
    </sheetView>
  </sheetViews>
  <sheetFormatPr baseColWidth="10" defaultRowHeight="15" x14ac:dyDescent="0.25"/>
  <cols>
    <col min="1" max="1" width="17.42578125" customWidth="1"/>
    <col min="3" max="3" width="16.85546875" customWidth="1"/>
    <col min="4" max="4" width="17.85546875" customWidth="1"/>
    <col min="13" max="13" width="20.28515625" bestFit="1" customWidth="1"/>
  </cols>
  <sheetData>
    <row r="1" spans="1:13" ht="20.100000000000001" customHeight="1" x14ac:dyDescent="0.25">
      <c r="A1" s="21" t="s">
        <v>0</v>
      </c>
      <c r="B1" s="21"/>
      <c r="C1" s="21"/>
      <c r="D1" s="21"/>
      <c r="E1" s="21"/>
      <c r="F1" s="21"/>
    </row>
    <row r="2" spans="1:13" ht="20.100000000000001" customHeight="1" x14ac:dyDescent="0.25"/>
    <row r="3" spans="1:13" ht="20.100000000000001" customHeight="1" x14ac:dyDescent="0.25">
      <c r="A3" s="20" t="s">
        <v>1</v>
      </c>
      <c r="B3" s="20" t="s">
        <v>2</v>
      </c>
      <c r="C3" s="14">
        <v>45033</v>
      </c>
    </row>
    <row r="4" spans="1:13" ht="20.100000000000001" customHeight="1" x14ac:dyDescent="0.25"/>
    <row r="5" spans="1:13" ht="20.100000000000001" customHeight="1" x14ac:dyDescent="0.25">
      <c r="A5" s="2" t="s">
        <v>3</v>
      </c>
      <c r="B5" s="2" t="s">
        <v>4</v>
      </c>
      <c r="C5" s="2" t="s">
        <v>5</v>
      </c>
    </row>
    <row r="6" spans="1:13" ht="20.100000000000001" customHeight="1" x14ac:dyDescent="0.25">
      <c r="A6" s="2">
        <v>9240</v>
      </c>
      <c r="B6" s="2">
        <v>0.24</v>
      </c>
      <c r="C6" s="3">
        <f>+A6*B6</f>
        <v>2217.6</v>
      </c>
    </row>
    <row r="7" spans="1:13" ht="20.100000000000001" customHeight="1" x14ac:dyDescent="0.25"/>
    <row r="8" spans="1:13" ht="20.100000000000001" customHeight="1" x14ac:dyDescent="0.25"/>
    <row r="9" spans="1:13" ht="20.100000000000001" customHeight="1" x14ac:dyDescent="0.25">
      <c r="A9" s="1" t="s">
        <v>6</v>
      </c>
      <c r="C9" s="2" t="s">
        <v>20</v>
      </c>
      <c r="D9" s="2" t="s">
        <v>21</v>
      </c>
    </row>
    <row r="10" spans="1:13" ht="20.100000000000001" customHeight="1" x14ac:dyDescent="0.25">
      <c r="A10" s="20" t="s">
        <v>14</v>
      </c>
      <c r="B10" s="20"/>
      <c r="C10" s="3">
        <v>150</v>
      </c>
      <c r="D10" s="3"/>
    </row>
    <row r="11" spans="1:13" ht="20.100000000000001" customHeight="1" x14ac:dyDescent="0.25">
      <c r="A11" s="20" t="s">
        <v>7</v>
      </c>
      <c r="B11" s="20"/>
      <c r="C11" s="11">
        <v>48</v>
      </c>
      <c r="D11" s="11"/>
    </row>
    <row r="12" spans="1:13" ht="20.100000000000001" customHeight="1" x14ac:dyDescent="0.25">
      <c r="A12" s="20" t="s">
        <v>8</v>
      </c>
      <c r="B12" s="22"/>
      <c r="C12" s="13">
        <v>15</v>
      </c>
      <c r="D12" s="13"/>
      <c r="H12" s="9" t="s">
        <v>35</v>
      </c>
      <c r="I12" s="9" t="s">
        <v>34</v>
      </c>
      <c r="J12" s="9" t="s">
        <v>30</v>
      </c>
      <c r="K12" s="9" t="s">
        <v>31</v>
      </c>
      <c r="L12" s="9" t="s">
        <v>32</v>
      </c>
      <c r="M12" s="9" t="s">
        <v>33</v>
      </c>
    </row>
    <row r="13" spans="1:13" ht="20.100000000000001" customHeight="1" x14ac:dyDescent="0.25">
      <c r="A13" s="20" t="s">
        <v>10</v>
      </c>
      <c r="B13" s="20"/>
      <c r="C13" s="12">
        <v>2</v>
      </c>
      <c r="D13" s="12"/>
      <c r="H13" s="2" t="s">
        <v>36</v>
      </c>
      <c r="I13" s="3">
        <v>365</v>
      </c>
      <c r="J13" s="3">
        <f>+I13*7.5%</f>
        <v>27.375</v>
      </c>
      <c r="K13" s="3">
        <f>((I13/2*0.3)+I13/2)/365*30</f>
        <v>19.5</v>
      </c>
      <c r="L13" s="3">
        <f>(I13/2)/365*30</f>
        <v>15</v>
      </c>
      <c r="M13" s="3">
        <f>SUM(J13:L13)</f>
        <v>61.875</v>
      </c>
    </row>
    <row r="14" spans="1:13" ht="20.100000000000001" customHeight="1" x14ac:dyDescent="0.25">
      <c r="A14" s="20" t="s">
        <v>9</v>
      </c>
      <c r="B14" s="20"/>
      <c r="C14" s="3">
        <v>0</v>
      </c>
      <c r="D14" s="3"/>
      <c r="H14" s="2" t="s">
        <v>36</v>
      </c>
      <c r="I14" s="3">
        <v>365</v>
      </c>
      <c r="J14" s="3">
        <f t="shared" ref="J14:J17" si="0">+I14*7.5%</f>
        <v>27.375</v>
      </c>
      <c r="K14" s="3">
        <f>((I14/2*0.3)+I14/2)/365*30</f>
        <v>19.5</v>
      </c>
      <c r="L14" s="3">
        <f t="shared" ref="L14:L17" si="1">(I14/2)/365*30</f>
        <v>15</v>
      </c>
      <c r="M14" s="3">
        <f t="shared" ref="M14:M17" si="2">SUM(J14:L14)</f>
        <v>61.875</v>
      </c>
    </row>
    <row r="15" spans="1:13" ht="20.100000000000001" customHeight="1" x14ac:dyDescent="0.25">
      <c r="A15" s="20" t="s">
        <v>12</v>
      </c>
      <c r="B15" s="20"/>
      <c r="C15" s="3">
        <v>0</v>
      </c>
      <c r="D15" s="3"/>
      <c r="H15" s="2" t="s">
        <v>36</v>
      </c>
      <c r="I15" s="3">
        <v>450</v>
      </c>
      <c r="J15" s="3">
        <f t="shared" si="0"/>
        <v>33.75</v>
      </c>
      <c r="K15" s="3">
        <f>((I15/2*0.3)+I15/2)/365*30</f>
        <v>24.041095890410958</v>
      </c>
      <c r="L15" s="3">
        <f t="shared" si="1"/>
        <v>18.493150684931507</v>
      </c>
      <c r="M15" s="3">
        <f t="shared" si="2"/>
        <v>76.284246575342465</v>
      </c>
    </row>
    <row r="16" spans="1:13" ht="20.100000000000001" customHeight="1" x14ac:dyDescent="0.25">
      <c r="A16" s="20" t="s">
        <v>11</v>
      </c>
      <c r="B16" s="20"/>
      <c r="C16" s="3">
        <v>0</v>
      </c>
      <c r="D16" s="3"/>
      <c r="H16" s="2" t="s">
        <v>37</v>
      </c>
      <c r="I16" s="3">
        <v>525</v>
      </c>
      <c r="J16" s="3">
        <f t="shared" si="0"/>
        <v>39.375</v>
      </c>
      <c r="K16" s="3">
        <f>((I16/2*0.3)+I16/2)/365*30</f>
        <v>28.047945205479451</v>
      </c>
      <c r="L16" s="3">
        <f t="shared" si="1"/>
        <v>21.575342465753423</v>
      </c>
      <c r="M16" s="3">
        <f t="shared" si="2"/>
        <v>88.998287671232873</v>
      </c>
    </row>
    <row r="17" spans="1:13" ht="20.100000000000001" customHeight="1" x14ac:dyDescent="0.25">
      <c r="A17" s="20" t="s">
        <v>19</v>
      </c>
      <c r="B17" s="20"/>
      <c r="C17" s="3">
        <f>40+26</f>
        <v>66</v>
      </c>
      <c r="D17" s="3"/>
      <c r="H17" s="2" t="s">
        <v>38</v>
      </c>
      <c r="I17" s="3">
        <v>100</v>
      </c>
      <c r="J17" s="3">
        <f t="shared" si="0"/>
        <v>7.5</v>
      </c>
      <c r="K17" s="3">
        <f>((I17/2*0.3)+I17/2)/365*30</f>
        <v>5.3424657534246576</v>
      </c>
      <c r="L17" s="3">
        <f t="shared" si="1"/>
        <v>4.10958904109589</v>
      </c>
      <c r="M17" s="3">
        <f t="shared" si="2"/>
        <v>16.952054794520549</v>
      </c>
    </row>
    <row r="18" spans="1:13" ht="20.100000000000001" customHeight="1" x14ac:dyDescent="0.25">
      <c r="A18" s="20" t="s">
        <v>13</v>
      </c>
      <c r="B18" s="20"/>
      <c r="C18" s="3">
        <v>0</v>
      </c>
      <c r="D18" s="3"/>
      <c r="H18" s="9" t="s">
        <v>39</v>
      </c>
      <c r="I18" s="15">
        <f>SUM(I13:I17)</f>
        <v>1805</v>
      </c>
      <c r="J18" s="15">
        <f>SUM(J13:J17)</f>
        <v>135.375</v>
      </c>
      <c r="K18" s="15">
        <f>SUM(K13:K17)</f>
        <v>96.43150684931507</v>
      </c>
      <c r="L18" s="15">
        <f>SUM(L13:L17)</f>
        <v>74.178082191780817</v>
      </c>
      <c r="M18" s="15">
        <f>SUM(M13:M17)</f>
        <v>305.98458904109589</v>
      </c>
    </row>
    <row r="19" spans="1:13" ht="20.100000000000001" customHeight="1" x14ac:dyDescent="0.25">
      <c r="A19" s="20" t="s">
        <v>29</v>
      </c>
      <c r="B19" s="20"/>
      <c r="C19" s="3">
        <v>0</v>
      </c>
      <c r="D19" s="3">
        <v>0</v>
      </c>
    </row>
    <row r="20" spans="1:13" ht="20.100000000000001" customHeight="1" x14ac:dyDescent="0.25">
      <c r="A20" s="20" t="s">
        <v>25</v>
      </c>
      <c r="B20" s="20"/>
      <c r="C20" s="3">
        <f>+A6*H24</f>
        <v>81.808379708904098</v>
      </c>
      <c r="D20" s="3">
        <v>0</v>
      </c>
    </row>
    <row r="21" spans="1:13" ht="20.100000000000001" customHeight="1" x14ac:dyDescent="0.25">
      <c r="A21" s="20" t="s">
        <v>26</v>
      </c>
      <c r="B21" s="20"/>
      <c r="C21" s="3">
        <v>50</v>
      </c>
      <c r="D21" s="3">
        <v>0</v>
      </c>
    </row>
    <row r="22" spans="1:13" ht="20.100000000000001" customHeight="1" x14ac:dyDescent="0.25"/>
    <row r="23" spans="1:13" ht="20.100000000000001" customHeight="1" x14ac:dyDescent="0.25">
      <c r="A23" s="20" t="s">
        <v>15</v>
      </c>
      <c r="B23" s="20"/>
      <c r="C23" s="4">
        <f>SUM(C10:F22)</f>
        <v>412.80837970890411</v>
      </c>
      <c r="H23">
        <f>+A6+'1'!A6</f>
        <v>34560</v>
      </c>
    </row>
    <row r="24" spans="1:13" ht="20.100000000000001" customHeight="1" x14ac:dyDescent="0.25">
      <c r="H24">
        <f>+M18/H23</f>
        <v>8.8537207477168943E-3</v>
      </c>
    </row>
    <row r="25" spans="1:13" ht="20.100000000000001" customHeight="1" x14ac:dyDescent="0.25">
      <c r="A25" s="20" t="s">
        <v>16</v>
      </c>
      <c r="B25" s="20"/>
      <c r="C25" s="4">
        <f>+C23+C6</f>
        <v>2630.4083797089042</v>
      </c>
    </row>
    <row r="26" spans="1:13" ht="20.100000000000001" customHeight="1" x14ac:dyDescent="0.25"/>
    <row r="27" spans="1:13" ht="20.100000000000001" customHeight="1" x14ac:dyDescent="0.25">
      <c r="A27" s="6" t="s">
        <v>17</v>
      </c>
      <c r="B27" s="7">
        <v>0.32500000000000001</v>
      </c>
      <c r="C27" s="3">
        <f>+B27*((A6)+10)</f>
        <v>3006.25</v>
      </c>
    </row>
    <row r="28" spans="1:13" ht="20.100000000000001" customHeight="1" x14ac:dyDescent="0.25"/>
    <row r="29" spans="1:13" ht="20.100000000000001" customHeight="1" x14ac:dyDescent="0.25">
      <c r="A29" s="20" t="s">
        <v>18</v>
      </c>
      <c r="B29" s="20"/>
      <c r="C29" s="4">
        <f>+C27-C25</f>
        <v>375.84162029109575</v>
      </c>
      <c r="L29" s="10"/>
    </row>
    <row r="30" spans="1:13" ht="20.100000000000001" customHeight="1" x14ac:dyDescent="0.25"/>
    <row r="31" spans="1:13" ht="20.100000000000001" customHeight="1" x14ac:dyDescent="0.25">
      <c r="A31" s="20" t="s">
        <v>22</v>
      </c>
      <c r="B31" s="20"/>
      <c r="C31" s="4">
        <f>C29*0.3</f>
        <v>112.75248608732872</v>
      </c>
    </row>
    <row r="32" spans="1:13" ht="20.100000000000001" customHeight="1" x14ac:dyDescent="0.25">
      <c r="A32" s="5"/>
    </row>
    <row r="33" spans="1:3" ht="20.100000000000001" customHeight="1" x14ac:dyDescent="0.25">
      <c r="A33" s="20" t="s">
        <v>27</v>
      </c>
      <c r="B33" s="20"/>
      <c r="C33" s="4">
        <f>(C29-C31)*7%</f>
        <v>18.416239394263691</v>
      </c>
    </row>
    <row r="34" spans="1:3" ht="20.100000000000001" customHeight="1" x14ac:dyDescent="0.25">
      <c r="A34" s="5"/>
    </row>
    <row r="35" spans="1:3" ht="20.100000000000001" customHeight="1" x14ac:dyDescent="0.25">
      <c r="A35" s="20" t="s">
        <v>23</v>
      </c>
      <c r="B35" s="20"/>
      <c r="C35" s="4">
        <f>+C29-C31-C33</f>
        <v>244.6728948095033</v>
      </c>
    </row>
    <row r="36" spans="1:3" ht="20.100000000000001" customHeight="1" x14ac:dyDescent="0.25">
      <c r="A36" s="5"/>
    </row>
    <row r="37" spans="1:3" ht="20.100000000000001" customHeight="1" x14ac:dyDescent="0.25">
      <c r="A37" s="20" t="s">
        <v>24</v>
      </c>
      <c r="B37" s="20"/>
      <c r="C37" s="3">
        <f>+C35/3</f>
        <v>81.557631603167764</v>
      </c>
    </row>
  </sheetData>
  <mergeCells count="21">
    <mergeCell ref="A19:B19"/>
    <mergeCell ref="A1:F1"/>
    <mergeCell ref="A3:B3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33:B33"/>
    <mergeCell ref="A35:B35"/>
    <mergeCell ref="A37:B37"/>
    <mergeCell ref="A20:B20"/>
    <mergeCell ref="A21:B21"/>
    <mergeCell ref="A23:B23"/>
    <mergeCell ref="A25:B25"/>
    <mergeCell ref="A29:B29"/>
    <mergeCell ref="A31:B31"/>
  </mergeCells>
  <pageMargins left="0.7" right="0.7" top="0.75" bottom="0.75" header="0.3" footer="0.3"/>
  <pageSetup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workbookViewId="0">
      <selection activeCell="E37" sqref="A1:F37"/>
    </sheetView>
  </sheetViews>
  <sheetFormatPr baseColWidth="10" defaultRowHeight="15" x14ac:dyDescent="0.25"/>
  <cols>
    <col min="1" max="1" width="17.42578125" customWidth="1"/>
    <col min="3" max="3" width="16.85546875" customWidth="1"/>
    <col min="4" max="4" width="17.85546875" customWidth="1"/>
    <col min="13" max="13" width="20.28515625" bestFit="1" customWidth="1"/>
  </cols>
  <sheetData>
    <row r="1" spans="1:13" ht="20.100000000000001" customHeight="1" x14ac:dyDescent="0.25">
      <c r="A1" s="21" t="s">
        <v>0</v>
      </c>
      <c r="B1" s="21"/>
      <c r="C1" s="21"/>
      <c r="D1" s="21"/>
      <c r="E1" s="21"/>
      <c r="F1" s="21"/>
    </row>
    <row r="2" spans="1:13" ht="20.100000000000001" customHeight="1" x14ac:dyDescent="0.25"/>
    <row r="3" spans="1:13" ht="20.100000000000001" customHeight="1" x14ac:dyDescent="0.25">
      <c r="A3" s="20" t="s">
        <v>1</v>
      </c>
      <c r="B3" s="20" t="s">
        <v>2</v>
      </c>
      <c r="C3" s="14">
        <v>45054</v>
      </c>
    </row>
    <row r="4" spans="1:13" ht="20.100000000000001" customHeight="1" x14ac:dyDescent="0.25"/>
    <row r="5" spans="1:13" ht="20.100000000000001" customHeight="1" x14ac:dyDescent="0.25">
      <c r="A5" s="2" t="s">
        <v>3</v>
      </c>
      <c r="B5" s="2" t="s">
        <v>4</v>
      </c>
      <c r="C5" s="2" t="s">
        <v>5</v>
      </c>
    </row>
    <row r="6" spans="1:13" ht="20.100000000000001" customHeight="1" x14ac:dyDescent="0.25">
      <c r="A6" s="2">
        <v>14430</v>
      </c>
      <c r="B6" s="2">
        <v>0.24</v>
      </c>
      <c r="C6" s="3">
        <f>+A6*B6</f>
        <v>3463.2</v>
      </c>
    </row>
    <row r="7" spans="1:13" ht="20.100000000000001" customHeight="1" x14ac:dyDescent="0.25"/>
    <row r="8" spans="1:13" ht="20.100000000000001" customHeight="1" x14ac:dyDescent="0.25"/>
    <row r="9" spans="1:13" ht="20.100000000000001" customHeight="1" x14ac:dyDescent="0.25">
      <c r="A9" s="1" t="s">
        <v>6</v>
      </c>
      <c r="C9" s="2" t="s">
        <v>20</v>
      </c>
      <c r="D9" s="2" t="s">
        <v>21</v>
      </c>
    </row>
    <row r="10" spans="1:13" ht="20.100000000000001" customHeight="1" x14ac:dyDescent="0.25">
      <c r="A10" s="20" t="s">
        <v>14</v>
      </c>
      <c r="B10" s="20"/>
      <c r="C10" s="3">
        <v>150</v>
      </c>
      <c r="D10" s="3"/>
    </row>
    <row r="11" spans="1:13" ht="20.100000000000001" customHeight="1" x14ac:dyDescent="0.25">
      <c r="A11" s="20" t="s">
        <v>7</v>
      </c>
      <c r="B11" s="20"/>
      <c r="C11" s="11">
        <v>52.5</v>
      </c>
      <c r="D11" s="11"/>
    </row>
    <row r="12" spans="1:13" ht="20.100000000000001" customHeight="1" x14ac:dyDescent="0.25">
      <c r="A12" s="20" t="s">
        <v>8</v>
      </c>
      <c r="B12" s="22"/>
      <c r="C12" s="13">
        <v>15</v>
      </c>
      <c r="D12" s="13"/>
      <c r="H12" s="9" t="s">
        <v>35</v>
      </c>
      <c r="I12" s="9" t="s">
        <v>34</v>
      </c>
      <c r="J12" s="9" t="s">
        <v>30</v>
      </c>
      <c r="K12" s="9" t="s">
        <v>31</v>
      </c>
      <c r="L12" s="9" t="s">
        <v>32</v>
      </c>
      <c r="M12" s="9" t="s">
        <v>33</v>
      </c>
    </row>
    <row r="13" spans="1:13" ht="20.100000000000001" customHeight="1" x14ac:dyDescent="0.25">
      <c r="A13" s="20" t="s">
        <v>10</v>
      </c>
      <c r="B13" s="20"/>
      <c r="C13" s="12">
        <v>2</v>
      </c>
      <c r="D13" s="12"/>
      <c r="H13" s="2" t="s">
        <v>36</v>
      </c>
      <c r="I13" s="3">
        <v>365</v>
      </c>
      <c r="J13" s="3">
        <f>+I13*7.5%</f>
        <v>27.375</v>
      </c>
      <c r="K13" s="3">
        <f>((I13/2*0.3)+I13/2)/365*30</f>
        <v>19.5</v>
      </c>
      <c r="L13" s="3">
        <f>(I13/2)/365*30</f>
        <v>15</v>
      </c>
      <c r="M13" s="3">
        <f>SUM(J13:L13)</f>
        <v>61.875</v>
      </c>
    </row>
    <row r="14" spans="1:13" ht="20.100000000000001" customHeight="1" x14ac:dyDescent="0.25">
      <c r="A14" s="20" t="s">
        <v>9</v>
      </c>
      <c r="B14" s="20"/>
      <c r="C14" s="3">
        <v>0</v>
      </c>
      <c r="D14" s="3"/>
      <c r="H14" s="2" t="s">
        <v>36</v>
      </c>
      <c r="I14" s="3">
        <v>365</v>
      </c>
      <c r="J14" s="3">
        <f t="shared" ref="J14:J17" si="0">+I14*7.5%</f>
        <v>27.375</v>
      </c>
      <c r="K14" s="3">
        <f>((I14/2*0.3)+I14/2)/365*30</f>
        <v>19.5</v>
      </c>
      <c r="L14" s="3">
        <f t="shared" ref="L14:L17" si="1">(I14/2)/365*30</f>
        <v>15</v>
      </c>
      <c r="M14" s="3">
        <f t="shared" ref="M14:M17" si="2">SUM(J14:L14)</f>
        <v>61.875</v>
      </c>
    </row>
    <row r="15" spans="1:13" ht="20.100000000000001" customHeight="1" x14ac:dyDescent="0.25">
      <c r="A15" s="20" t="s">
        <v>12</v>
      </c>
      <c r="B15" s="20"/>
      <c r="C15" s="3">
        <v>0</v>
      </c>
      <c r="D15" s="3"/>
      <c r="H15" s="2" t="s">
        <v>36</v>
      </c>
      <c r="I15" s="3">
        <v>450</v>
      </c>
      <c r="J15" s="3">
        <f t="shared" si="0"/>
        <v>33.75</v>
      </c>
      <c r="K15" s="3">
        <f>((I15/2*0.3)+I15/2)/365*30</f>
        <v>24.041095890410958</v>
      </c>
      <c r="L15" s="3">
        <f t="shared" si="1"/>
        <v>18.493150684931507</v>
      </c>
      <c r="M15" s="3">
        <f t="shared" si="2"/>
        <v>76.284246575342465</v>
      </c>
    </row>
    <row r="16" spans="1:13" ht="20.100000000000001" customHeight="1" x14ac:dyDescent="0.25">
      <c r="A16" s="20" t="s">
        <v>11</v>
      </c>
      <c r="B16" s="20"/>
      <c r="C16" s="3">
        <v>20</v>
      </c>
      <c r="D16" s="3"/>
      <c r="H16" s="2" t="s">
        <v>37</v>
      </c>
      <c r="I16" s="3">
        <v>525</v>
      </c>
      <c r="J16" s="3">
        <f t="shared" si="0"/>
        <v>39.375</v>
      </c>
      <c r="K16" s="3">
        <f>((I16/2*0.3)+I16/2)/365*30</f>
        <v>28.047945205479451</v>
      </c>
      <c r="L16" s="3">
        <f t="shared" si="1"/>
        <v>21.575342465753423</v>
      </c>
      <c r="M16" s="3">
        <f t="shared" si="2"/>
        <v>88.998287671232873</v>
      </c>
    </row>
    <row r="17" spans="1:13" ht="20.100000000000001" customHeight="1" x14ac:dyDescent="0.25">
      <c r="A17" s="20" t="s">
        <v>19</v>
      </c>
      <c r="B17" s="20"/>
      <c r="C17" s="3">
        <f>40+26</f>
        <v>66</v>
      </c>
      <c r="D17" s="3"/>
      <c r="H17" s="2" t="s">
        <v>38</v>
      </c>
      <c r="I17" s="3">
        <v>100</v>
      </c>
      <c r="J17" s="3">
        <f t="shared" si="0"/>
        <v>7.5</v>
      </c>
      <c r="K17" s="3">
        <f>((I17/2*0.3)+I17/2)/365*30</f>
        <v>5.3424657534246576</v>
      </c>
      <c r="L17" s="3">
        <f t="shared" si="1"/>
        <v>4.10958904109589</v>
      </c>
      <c r="M17" s="3">
        <f t="shared" si="2"/>
        <v>16.952054794520549</v>
      </c>
    </row>
    <row r="18" spans="1:13" ht="20.100000000000001" customHeight="1" x14ac:dyDescent="0.25">
      <c r="A18" s="20" t="s">
        <v>13</v>
      </c>
      <c r="B18" s="20"/>
      <c r="C18" s="3">
        <v>0</v>
      </c>
      <c r="D18" s="3"/>
      <c r="H18" s="9" t="s">
        <v>39</v>
      </c>
      <c r="I18" s="15">
        <f>SUM(I13:I17)</f>
        <v>1805</v>
      </c>
      <c r="J18" s="15">
        <f>SUM(J13:J17)</f>
        <v>135.375</v>
      </c>
      <c r="K18" s="15">
        <f>SUM(K13:K17)</f>
        <v>96.43150684931507</v>
      </c>
      <c r="L18" s="15">
        <f>SUM(L13:L17)</f>
        <v>74.178082191780817</v>
      </c>
      <c r="M18" s="15">
        <f>SUM(M13:M17)</f>
        <v>305.98458904109589</v>
      </c>
    </row>
    <row r="19" spans="1:13" ht="20.100000000000001" customHeight="1" x14ac:dyDescent="0.25">
      <c r="A19" s="20" t="s">
        <v>29</v>
      </c>
      <c r="B19" s="20"/>
      <c r="C19" s="3">
        <v>0</v>
      </c>
      <c r="D19" s="3">
        <v>0</v>
      </c>
    </row>
    <row r="20" spans="1:13" ht="20.100000000000001" customHeight="1" x14ac:dyDescent="0.25">
      <c r="A20" s="20" t="s">
        <v>25</v>
      </c>
      <c r="B20" s="20"/>
      <c r="C20" s="3">
        <f>+A6*H24</f>
        <v>175.63077246869585</v>
      </c>
      <c r="D20" s="3">
        <v>0</v>
      </c>
      <c r="F20" s="16"/>
    </row>
    <row r="21" spans="1:13" ht="20.100000000000001" customHeight="1" x14ac:dyDescent="0.25">
      <c r="A21" s="20" t="s">
        <v>26</v>
      </c>
      <c r="B21" s="20"/>
      <c r="C21" s="3">
        <v>50</v>
      </c>
      <c r="D21" s="3">
        <v>0</v>
      </c>
    </row>
    <row r="22" spans="1:13" ht="20.100000000000001" customHeight="1" x14ac:dyDescent="0.25"/>
    <row r="23" spans="1:13" ht="20.100000000000001" customHeight="1" x14ac:dyDescent="0.25">
      <c r="A23" s="20" t="s">
        <v>15</v>
      </c>
      <c r="B23" s="20"/>
      <c r="C23" s="4">
        <f>SUM(C10:D21)</f>
        <v>531.1307724686958</v>
      </c>
      <c r="H23">
        <v>25140</v>
      </c>
    </row>
    <row r="24" spans="1:13" ht="20.100000000000001" customHeight="1" x14ac:dyDescent="0.25">
      <c r="H24">
        <f>+M18/H23</f>
        <v>1.2171224703305325E-2</v>
      </c>
    </row>
    <row r="25" spans="1:13" ht="20.100000000000001" customHeight="1" x14ac:dyDescent="0.25">
      <c r="A25" s="20" t="s">
        <v>16</v>
      </c>
      <c r="B25" s="20"/>
      <c r="C25" s="4">
        <f>+C23+C6</f>
        <v>3994.3307724686956</v>
      </c>
    </row>
    <row r="26" spans="1:13" ht="20.100000000000001" customHeight="1" x14ac:dyDescent="0.25"/>
    <row r="27" spans="1:13" ht="20.100000000000001" customHeight="1" x14ac:dyDescent="0.25">
      <c r="A27" s="6" t="s">
        <v>17</v>
      </c>
      <c r="B27" s="7">
        <v>0.32500000000000001</v>
      </c>
      <c r="C27" s="3">
        <f>+B27*((A6))</f>
        <v>4689.75</v>
      </c>
    </row>
    <row r="28" spans="1:13" ht="20.100000000000001" customHeight="1" x14ac:dyDescent="0.25"/>
    <row r="29" spans="1:13" ht="20.100000000000001" customHeight="1" x14ac:dyDescent="0.25">
      <c r="A29" s="20" t="s">
        <v>18</v>
      </c>
      <c r="B29" s="20"/>
      <c r="C29" s="4">
        <f>+C27-C25</f>
        <v>695.41922753130439</v>
      </c>
      <c r="L29" s="10"/>
    </row>
    <row r="30" spans="1:13" ht="20.100000000000001" customHeight="1" x14ac:dyDescent="0.25"/>
    <row r="31" spans="1:13" ht="20.100000000000001" customHeight="1" x14ac:dyDescent="0.25">
      <c r="A31" s="20" t="s">
        <v>22</v>
      </c>
      <c r="B31" s="20"/>
      <c r="C31" s="4">
        <f>C29*0.3</f>
        <v>208.62576825939132</v>
      </c>
    </row>
    <row r="32" spans="1:13" ht="20.100000000000001" customHeight="1" x14ac:dyDescent="0.25">
      <c r="A32" s="5"/>
    </row>
    <row r="33" spans="1:3" ht="20.100000000000001" customHeight="1" x14ac:dyDescent="0.25">
      <c r="A33" s="20" t="s">
        <v>27</v>
      </c>
      <c r="B33" s="20"/>
      <c r="C33" s="4">
        <f>(C29-C31)*7%</f>
        <v>34.075542149033922</v>
      </c>
    </row>
    <row r="34" spans="1:3" ht="20.100000000000001" customHeight="1" x14ac:dyDescent="0.25">
      <c r="A34" s="5"/>
    </row>
    <row r="35" spans="1:3" ht="20.100000000000001" customHeight="1" x14ac:dyDescent="0.25">
      <c r="A35" s="20" t="s">
        <v>23</v>
      </c>
      <c r="B35" s="20"/>
      <c r="C35" s="4">
        <f>+C29-C31-C33</f>
        <v>452.71791712287916</v>
      </c>
    </row>
    <row r="36" spans="1:3" ht="20.100000000000001" customHeight="1" x14ac:dyDescent="0.25">
      <c r="A36" s="5"/>
    </row>
    <row r="37" spans="1:3" ht="20.100000000000001" customHeight="1" x14ac:dyDescent="0.25">
      <c r="A37" s="20" t="s">
        <v>24</v>
      </c>
      <c r="B37" s="20"/>
      <c r="C37" s="3">
        <f>+C35/3</f>
        <v>150.90597237429304</v>
      </c>
    </row>
  </sheetData>
  <mergeCells count="21">
    <mergeCell ref="A33:B33"/>
    <mergeCell ref="A35:B35"/>
    <mergeCell ref="A37:B37"/>
    <mergeCell ref="A20:B20"/>
    <mergeCell ref="A21:B21"/>
    <mergeCell ref="A23:B23"/>
    <mergeCell ref="A25:B25"/>
    <mergeCell ref="A29:B29"/>
    <mergeCell ref="A31:B31"/>
    <mergeCell ref="A19:B19"/>
    <mergeCell ref="A1:F1"/>
    <mergeCell ref="A3:B3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  <pageSetup scale="5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opLeftCell="A24" workbookViewId="0">
      <selection activeCell="D41" sqref="D41"/>
    </sheetView>
  </sheetViews>
  <sheetFormatPr baseColWidth="10" defaultRowHeight="15" x14ac:dyDescent="0.25"/>
  <cols>
    <col min="1" max="1" width="17.42578125" customWidth="1"/>
    <col min="3" max="3" width="16.85546875" customWidth="1"/>
    <col min="4" max="4" width="17.85546875" customWidth="1"/>
    <col min="13" max="13" width="20.28515625" bestFit="1" customWidth="1"/>
  </cols>
  <sheetData>
    <row r="1" spans="1:13" ht="20.100000000000001" customHeight="1" x14ac:dyDescent="0.25">
      <c r="A1" s="21" t="s">
        <v>0</v>
      </c>
      <c r="B1" s="21"/>
      <c r="C1" s="21"/>
      <c r="D1" s="21"/>
      <c r="E1" s="21"/>
      <c r="F1" s="21"/>
    </row>
    <row r="2" spans="1:13" ht="20.100000000000001" customHeight="1" x14ac:dyDescent="0.25"/>
    <row r="3" spans="1:13" ht="20.100000000000001" customHeight="1" x14ac:dyDescent="0.25">
      <c r="A3" s="20" t="s">
        <v>1</v>
      </c>
      <c r="B3" s="20" t="s">
        <v>2</v>
      </c>
      <c r="C3" s="14">
        <v>45057</v>
      </c>
    </row>
    <row r="4" spans="1:13" ht="20.100000000000001" customHeight="1" x14ac:dyDescent="0.25"/>
    <row r="5" spans="1:13" ht="20.100000000000001" customHeight="1" x14ac:dyDescent="0.25">
      <c r="A5" s="2" t="s">
        <v>3</v>
      </c>
      <c r="B5" s="2" t="s">
        <v>4</v>
      </c>
      <c r="C5" s="2" t="s">
        <v>5</v>
      </c>
    </row>
    <row r="6" spans="1:13" ht="20.100000000000001" customHeight="1" x14ac:dyDescent="0.25">
      <c r="A6" s="2">
        <v>10710</v>
      </c>
      <c r="B6" s="2">
        <v>0.24</v>
      </c>
      <c r="C6" s="3">
        <f>+A6*B6</f>
        <v>2570.4</v>
      </c>
    </row>
    <row r="7" spans="1:13" ht="20.100000000000001" customHeight="1" x14ac:dyDescent="0.25"/>
    <row r="8" spans="1:13" ht="20.100000000000001" customHeight="1" x14ac:dyDescent="0.25"/>
    <row r="9" spans="1:13" ht="20.100000000000001" customHeight="1" x14ac:dyDescent="0.25">
      <c r="A9" s="1" t="s">
        <v>6</v>
      </c>
      <c r="C9" s="2" t="s">
        <v>20</v>
      </c>
      <c r="D9" s="2" t="s">
        <v>21</v>
      </c>
    </row>
    <row r="10" spans="1:13" ht="20.100000000000001" customHeight="1" x14ac:dyDescent="0.25">
      <c r="A10" s="20" t="s">
        <v>14</v>
      </c>
      <c r="B10" s="20"/>
      <c r="C10" s="3">
        <v>150</v>
      </c>
      <c r="D10" s="3"/>
    </row>
    <row r="11" spans="1:13" ht="20.100000000000001" customHeight="1" x14ac:dyDescent="0.25">
      <c r="A11" s="20" t="s">
        <v>7</v>
      </c>
      <c r="B11" s="20"/>
      <c r="C11" s="11">
        <v>52.5</v>
      </c>
      <c r="D11" s="11"/>
    </row>
    <row r="12" spans="1:13" ht="20.100000000000001" customHeight="1" x14ac:dyDescent="0.25">
      <c r="A12" s="20" t="s">
        <v>8</v>
      </c>
      <c r="B12" s="22"/>
      <c r="C12" s="13">
        <v>20</v>
      </c>
      <c r="D12" s="13"/>
      <c r="H12" s="9" t="s">
        <v>35</v>
      </c>
      <c r="I12" s="9" t="s">
        <v>34</v>
      </c>
      <c r="J12" s="9" t="s">
        <v>30</v>
      </c>
      <c r="K12" s="9" t="s">
        <v>31</v>
      </c>
      <c r="L12" s="9" t="s">
        <v>32</v>
      </c>
      <c r="M12" s="9" t="s">
        <v>33</v>
      </c>
    </row>
    <row r="13" spans="1:13" ht="20.100000000000001" customHeight="1" x14ac:dyDescent="0.25">
      <c r="A13" s="20" t="s">
        <v>10</v>
      </c>
      <c r="B13" s="20"/>
      <c r="C13" s="12">
        <v>2</v>
      </c>
      <c r="D13" s="12"/>
      <c r="H13" s="2" t="s">
        <v>36</v>
      </c>
      <c r="I13" s="3">
        <v>365</v>
      </c>
      <c r="J13" s="3">
        <f>+I13*7.5%</f>
        <v>27.375</v>
      </c>
      <c r="K13" s="3">
        <f>((I13/2*0.3)+I13/2)/365*30</f>
        <v>19.5</v>
      </c>
      <c r="L13" s="3">
        <f>(I13/2)/365*30</f>
        <v>15</v>
      </c>
      <c r="M13" s="3">
        <f>SUM(J13:L13)</f>
        <v>61.875</v>
      </c>
    </row>
    <row r="14" spans="1:13" ht="20.100000000000001" customHeight="1" x14ac:dyDescent="0.25">
      <c r="A14" s="20" t="s">
        <v>9</v>
      </c>
      <c r="B14" s="20"/>
      <c r="C14" s="3">
        <v>0</v>
      </c>
      <c r="D14" s="3"/>
      <c r="H14" s="2" t="s">
        <v>36</v>
      </c>
      <c r="I14" s="3">
        <v>365</v>
      </c>
      <c r="J14" s="3">
        <f t="shared" ref="J14:J17" si="0">+I14*7.5%</f>
        <v>27.375</v>
      </c>
      <c r="K14" s="3">
        <f>((I14/2*0.3)+I14/2)/365*30</f>
        <v>19.5</v>
      </c>
      <c r="L14" s="3">
        <f t="shared" ref="L14:L17" si="1">(I14/2)/365*30</f>
        <v>15</v>
      </c>
      <c r="M14" s="3">
        <f t="shared" ref="M14:M17" si="2">SUM(J14:L14)</f>
        <v>61.875</v>
      </c>
    </row>
    <row r="15" spans="1:13" ht="20.100000000000001" customHeight="1" x14ac:dyDescent="0.25">
      <c r="A15" s="20" t="s">
        <v>12</v>
      </c>
      <c r="B15" s="20"/>
      <c r="C15" s="3">
        <v>0</v>
      </c>
      <c r="D15" s="3"/>
      <c r="H15" s="2" t="s">
        <v>36</v>
      </c>
      <c r="I15" s="3">
        <v>450</v>
      </c>
      <c r="J15" s="3">
        <f t="shared" si="0"/>
        <v>33.75</v>
      </c>
      <c r="K15" s="3">
        <f>((I15/2*0.3)+I15/2)/365*30</f>
        <v>24.041095890410958</v>
      </c>
      <c r="L15" s="3">
        <f t="shared" si="1"/>
        <v>18.493150684931507</v>
      </c>
      <c r="M15" s="3">
        <f t="shared" si="2"/>
        <v>76.284246575342465</v>
      </c>
    </row>
    <row r="16" spans="1:13" ht="20.100000000000001" customHeight="1" x14ac:dyDescent="0.25">
      <c r="A16" s="20" t="s">
        <v>11</v>
      </c>
      <c r="B16" s="20"/>
      <c r="C16" s="3">
        <v>20</v>
      </c>
      <c r="D16" s="3"/>
      <c r="H16" s="2" t="s">
        <v>37</v>
      </c>
      <c r="I16" s="3">
        <v>525</v>
      </c>
      <c r="J16" s="3">
        <f t="shared" si="0"/>
        <v>39.375</v>
      </c>
      <c r="K16" s="3">
        <f>((I16/2*0.3)+I16/2)/365*30</f>
        <v>28.047945205479451</v>
      </c>
      <c r="L16" s="3">
        <f t="shared" si="1"/>
        <v>21.575342465753423</v>
      </c>
      <c r="M16" s="3">
        <f t="shared" si="2"/>
        <v>88.998287671232873</v>
      </c>
    </row>
    <row r="17" spans="1:13" ht="20.100000000000001" customHeight="1" x14ac:dyDescent="0.25">
      <c r="A17" s="20" t="s">
        <v>19</v>
      </c>
      <c r="B17" s="20"/>
      <c r="C17" s="3">
        <f>40+26</f>
        <v>66</v>
      </c>
      <c r="D17" s="3"/>
      <c r="H17" s="2" t="s">
        <v>38</v>
      </c>
      <c r="I17" s="3">
        <v>100</v>
      </c>
      <c r="J17" s="3">
        <f t="shared" si="0"/>
        <v>7.5</v>
      </c>
      <c r="K17" s="3">
        <f>((I17/2*0.3)+I17/2)/365*30</f>
        <v>5.3424657534246576</v>
      </c>
      <c r="L17" s="3">
        <f t="shared" si="1"/>
        <v>4.10958904109589</v>
      </c>
      <c r="M17" s="3">
        <f t="shared" si="2"/>
        <v>16.952054794520549</v>
      </c>
    </row>
    <row r="18" spans="1:13" ht="20.100000000000001" customHeight="1" x14ac:dyDescent="0.25">
      <c r="A18" s="20" t="s">
        <v>13</v>
      </c>
      <c r="B18" s="20"/>
      <c r="C18" s="3">
        <v>0</v>
      </c>
      <c r="D18" s="3"/>
      <c r="H18" s="9" t="s">
        <v>39</v>
      </c>
      <c r="I18" s="15">
        <f>SUM(I13:I17)</f>
        <v>1805</v>
      </c>
      <c r="J18" s="15">
        <f>SUM(J13:J17)</f>
        <v>135.375</v>
      </c>
      <c r="K18" s="15">
        <f>SUM(K13:K17)</f>
        <v>96.43150684931507</v>
      </c>
      <c r="L18" s="15">
        <f>SUM(L13:L17)</f>
        <v>74.178082191780817</v>
      </c>
      <c r="M18" s="15">
        <f>SUM(M13:M17)</f>
        <v>305.98458904109589</v>
      </c>
    </row>
    <row r="19" spans="1:13" ht="20.100000000000001" customHeight="1" x14ac:dyDescent="0.25">
      <c r="A19" s="20" t="s">
        <v>29</v>
      </c>
      <c r="B19" s="20"/>
      <c r="C19" s="3">
        <v>0</v>
      </c>
      <c r="D19" s="3">
        <v>0</v>
      </c>
    </row>
    <row r="20" spans="1:13" ht="20.100000000000001" customHeight="1" x14ac:dyDescent="0.25">
      <c r="A20" s="20" t="s">
        <v>25</v>
      </c>
      <c r="B20" s="20"/>
      <c r="C20" s="3">
        <f>+A6*H24</f>
        <v>130.35381657240004</v>
      </c>
      <c r="D20" s="3">
        <v>0</v>
      </c>
    </row>
    <row r="21" spans="1:13" ht="20.100000000000001" customHeight="1" x14ac:dyDescent="0.25">
      <c r="A21" s="20" t="s">
        <v>26</v>
      </c>
      <c r="B21" s="20"/>
      <c r="C21" s="3">
        <v>50</v>
      </c>
      <c r="D21" s="3">
        <v>0</v>
      </c>
    </row>
    <row r="22" spans="1:13" ht="20.100000000000001" customHeight="1" x14ac:dyDescent="0.25"/>
    <row r="23" spans="1:13" ht="20.100000000000001" customHeight="1" x14ac:dyDescent="0.25">
      <c r="A23" s="20" t="s">
        <v>15</v>
      </c>
      <c r="B23" s="20"/>
      <c r="C23" s="4">
        <f>SUM(C10:D21)</f>
        <v>490.85381657240004</v>
      </c>
      <c r="H23">
        <f>+A6+'1'!A6</f>
        <v>36030</v>
      </c>
    </row>
    <row r="24" spans="1:13" ht="20.100000000000001" customHeight="1" x14ac:dyDescent="0.25">
      <c r="H24">
        <f>+'3'!H24</f>
        <v>1.2171224703305325E-2</v>
      </c>
    </row>
    <row r="25" spans="1:13" ht="20.100000000000001" customHeight="1" x14ac:dyDescent="0.25">
      <c r="A25" s="20" t="s">
        <v>16</v>
      </c>
      <c r="B25" s="20"/>
      <c r="C25" s="4">
        <f>+C23+C6</f>
        <v>3061.2538165724</v>
      </c>
    </row>
    <row r="26" spans="1:13" ht="20.100000000000001" customHeight="1" x14ac:dyDescent="0.25"/>
    <row r="27" spans="1:13" ht="20.100000000000001" customHeight="1" x14ac:dyDescent="0.25">
      <c r="A27" s="6" t="s">
        <v>17</v>
      </c>
      <c r="B27" s="7">
        <v>0.32500000000000001</v>
      </c>
      <c r="C27" s="3">
        <f>+B27*((A6)+10)</f>
        <v>3484</v>
      </c>
    </row>
    <row r="28" spans="1:13" ht="20.100000000000001" customHeight="1" x14ac:dyDescent="0.25"/>
    <row r="29" spans="1:13" ht="20.100000000000001" customHeight="1" x14ac:dyDescent="0.25">
      <c r="A29" s="20" t="s">
        <v>18</v>
      </c>
      <c r="B29" s="20"/>
      <c r="C29" s="4">
        <f>+C27-C25</f>
        <v>422.74618342760004</v>
      </c>
      <c r="L29" s="10"/>
    </row>
    <row r="30" spans="1:13" ht="20.100000000000001" customHeight="1" x14ac:dyDescent="0.25"/>
    <row r="31" spans="1:13" ht="20.100000000000001" customHeight="1" x14ac:dyDescent="0.25">
      <c r="A31" s="20" t="s">
        <v>22</v>
      </c>
      <c r="B31" s="20"/>
      <c r="C31" s="4">
        <f>C29*0.3</f>
        <v>126.82385502828001</v>
      </c>
    </row>
    <row r="32" spans="1:13" ht="20.100000000000001" customHeight="1" x14ac:dyDescent="0.25">
      <c r="A32" s="5"/>
    </row>
    <row r="33" spans="1:3" ht="20.100000000000001" customHeight="1" x14ac:dyDescent="0.25">
      <c r="A33" s="20" t="s">
        <v>27</v>
      </c>
      <c r="B33" s="20"/>
      <c r="C33" s="4">
        <f>(C29-C31)*7%</f>
        <v>20.714562987952402</v>
      </c>
    </row>
    <row r="34" spans="1:3" ht="20.100000000000001" customHeight="1" x14ac:dyDescent="0.25">
      <c r="A34" s="5"/>
    </row>
    <row r="35" spans="1:3" ht="20.100000000000001" customHeight="1" x14ac:dyDescent="0.25">
      <c r="A35" s="20" t="s">
        <v>23</v>
      </c>
      <c r="B35" s="20"/>
      <c r="C35" s="4">
        <f>+C29-C31-C33</f>
        <v>275.20776541136763</v>
      </c>
    </row>
    <row r="36" spans="1:3" ht="20.100000000000001" customHeight="1" x14ac:dyDescent="0.25">
      <c r="A36" s="5"/>
    </row>
    <row r="37" spans="1:3" ht="20.100000000000001" customHeight="1" x14ac:dyDescent="0.25">
      <c r="A37" s="20" t="s">
        <v>24</v>
      </c>
      <c r="B37" s="20"/>
      <c r="C37" s="3">
        <f>+C35/3</f>
        <v>91.735921803789211</v>
      </c>
    </row>
  </sheetData>
  <mergeCells count="21">
    <mergeCell ref="A33:B33"/>
    <mergeCell ref="A35:B35"/>
    <mergeCell ref="A37:B37"/>
    <mergeCell ref="A20:B20"/>
    <mergeCell ref="A21:B21"/>
    <mergeCell ref="A23:B23"/>
    <mergeCell ref="A25:B25"/>
    <mergeCell ref="A29:B29"/>
    <mergeCell ref="A31:B31"/>
    <mergeCell ref="A19:B19"/>
    <mergeCell ref="A1:F1"/>
    <mergeCell ref="A3:B3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  <pageSetup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workbookViewId="0">
      <selection activeCell="P24" sqref="P24"/>
    </sheetView>
  </sheetViews>
  <sheetFormatPr baseColWidth="10" defaultRowHeight="15" x14ac:dyDescent="0.25"/>
  <cols>
    <col min="1" max="1" width="17.42578125" customWidth="1"/>
    <col min="3" max="3" width="12" customWidth="1"/>
    <col min="4" max="4" width="10.5703125" bestFit="1" customWidth="1"/>
    <col min="6" max="6" width="11.5703125" customWidth="1"/>
    <col min="16" max="16" width="20.28515625" bestFit="1" customWidth="1"/>
  </cols>
  <sheetData>
    <row r="1" spans="1:16" ht="20.100000000000001" customHeight="1" x14ac:dyDescent="0.25">
      <c r="A1" s="21" t="s">
        <v>45</v>
      </c>
      <c r="B1" s="21"/>
      <c r="C1" s="21"/>
      <c r="D1" s="21"/>
      <c r="E1" s="21"/>
      <c r="F1" s="21"/>
      <c r="G1" s="21"/>
      <c r="H1" s="21"/>
      <c r="I1" s="21"/>
    </row>
    <row r="2" spans="1:16" ht="20.100000000000001" customHeight="1" x14ac:dyDescent="0.25"/>
    <row r="3" spans="1:16" ht="20.100000000000001" customHeight="1" x14ac:dyDescent="0.25">
      <c r="A3" s="20" t="s">
        <v>1</v>
      </c>
      <c r="B3" s="20" t="s">
        <v>2</v>
      </c>
      <c r="C3" s="14">
        <v>45068</v>
      </c>
    </row>
    <row r="4" spans="1:16" ht="20.100000000000001" customHeight="1" x14ac:dyDescent="0.25">
      <c r="K4">
        <v>283.8</v>
      </c>
      <c r="L4">
        <v>647.98</v>
      </c>
      <c r="M4">
        <v>131.4</v>
      </c>
      <c r="N4">
        <v>108.4</v>
      </c>
      <c r="O4">
        <v>153.80000000000001</v>
      </c>
      <c r="P4">
        <v>111.2</v>
      </c>
    </row>
    <row r="5" spans="1:16" ht="20.100000000000001" customHeight="1" x14ac:dyDescent="0.25">
      <c r="A5" s="2" t="s">
        <v>3</v>
      </c>
      <c r="B5" s="2" t="s">
        <v>43</v>
      </c>
      <c r="C5" s="2" t="s">
        <v>5</v>
      </c>
    </row>
    <row r="6" spans="1:16" ht="20.100000000000001" customHeight="1" x14ac:dyDescent="0.25">
      <c r="A6" s="2">
        <v>1436.58</v>
      </c>
      <c r="B6" s="2">
        <v>10.581799999999999</v>
      </c>
      <c r="C6" s="3">
        <f>+A6*B6</f>
        <v>15201.602243999998</v>
      </c>
      <c r="K6">
        <f>+C6*0.13</f>
        <v>1976.2082917199998</v>
      </c>
      <c r="L6" s="16">
        <f>+C6+K6</f>
        <v>17177.810535719997</v>
      </c>
      <c r="M6">
        <f>3168.4+11132.84</f>
        <v>14301.24</v>
      </c>
    </row>
    <row r="7" spans="1:16" ht="20.100000000000001" customHeight="1" x14ac:dyDescent="0.25"/>
    <row r="8" spans="1:16" ht="20.100000000000001" customHeight="1" x14ac:dyDescent="0.25"/>
    <row r="9" spans="1:16" ht="20.100000000000001" customHeight="1" x14ac:dyDescent="0.25">
      <c r="A9" s="1" t="s">
        <v>6</v>
      </c>
      <c r="C9" s="14">
        <v>45068</v>
      </c>
      <c r="D9" s="14">
        <v>45069</v>
      </c>
      <c r="E9" s="14">
        <v>45070</v>
      </c>
      <c r="F9" s="14">
        <v>45073</v>
      </c>
      <c r="G9" s="14">
        <v>45075</v>
      </c>
      <c r="H9" s="14">
        <v>45076</v>
      </c>
      <c r="I9" s="14">
        <v>45077</v>
      </c>
    </row>
    <row r="10" spans="1:16" ht="20.100000000000001" customHeight="1" x14ac:dyDescent="0.25">
      <c r="A10" s="20" t="s">
        <v>14</v>
      </c>
      <c r="B10" s="20"/>
      <c r="C10" s="3">
        <v>0</v>
      </c>
      <c r="D10" s="3">
        <v>0</v>
      </c>
      <c r="E10" s="3">
        <f>300+125</f>
        <v>425</v>
      </c>
      <c r="F10" s="3">
        <v>0</v>
      </c>
      <c r="G10" s="3">
        <f>125+125</f>
        <v>250</v>
      </c>
      <c r="H10" s="3">
        <v>0</v>
      </c>
      <c r="I10" s="3">
        <f>125+125</f>
        <v>250</v>
      </c>
    </row>
    <row r="11" spans="1:16" ht="20.100000000000001" customHeight="1" x14ac:dyDescent="0.25">
      <c r="A11" s="20" t="s">
        <v>42</v>
      </c>
      <c r="B11" s="20"/>
      <c r="C11" s="3">
        <v>0</v>
      </c>
      <c r="D11" s="11">
        <v>0</v>
      </c>
      <c r="E11" s="11">
        <v>500</v>
      </c>
      <c r="F11" s="11">
        <v>0</v>
      </c>
      <c r="G11" s="11"/>
      <c r="H11" s="11">
        <v>0</v>
      </c>
      <c r="I11" s="11">
        <v>0</v>
      </c>
    </row>
    <row r="12" spans="1:16" ht="20.100000000000001" customHeight="1" x14ac:dyDescent="0.25">
      <c r="A12" s="20" t="s">
        <v>7</v>
      </c>
      <c r="B12" s="20"/>
      <c r="C12" s="11">
        <v>67.5</v>
      </c>
      <c r="D12" s="11">
        <v>80.5</v>
      </c>
      <c r="E12" s="11">
        <v>80.5</v>
      </c>
      <c r="F12" s="11">
        <v>30.5</v>
      </c>
      <c r="G12" s="11">
        <v>65.5</v>
      </c>
      <c r="H12" s="11">
        <v>65.5</v>
      </c>
      <c r="I12" s="11">
        <v>65.5</v>
      </c>
    </row>
    <row r="13" spans="1:16" ht="20.100000000000001" customHeight="1" x14ac:dyDescent="0.25">
      <c r="A13" s="20" t="s">
        <v>8</v>
      </c>
      <c r="B13" s="22"/>
      <c r="C13" s="13">
        <v>20</v>
      </c>
      <c r="D13" s="13">
        <v>25</v>
      </c>
      <c r="E13" s="13">
        <v>25</v>
      </c>
      <c r="F13" s="13">
        <v>10</v>
      </c>
      <c r="G13" s="13">
        <v>20</v>
      </c>
      <c r="H13" s="13">
        <v>20</v>
      </c>
      <c r="I13" s="13">
        <v>20</v>
      </c>
      <c r="K13" s="9" t="s">
        <v>35</v>
      </c>
      <c r="L13" s="9" t="s">
        <v>34</v>
      </c>
      <c r="M13" s="9" t="s">
        <v>30</v>
      </c>
      <c r="N13" s="9" t="s">
        <v>31</v>
      </c>
      <c r="O13" s="9" t="s">
        <v>32</v>
      </c>
      <c r="P13" s="9" t="s">
        <v>33</v>
      </c>
    </row>
    <row r="14" spans="1:16" ht="20.100000000000001" customHeight="1" x14ac:dyDescent="0.25">
      <c r="A14" s="20" t="s">
        <v>10</v>
      </c>
      <c r="B14" s="20"/>
      <c r="C14" s="12">
        <v>2.5</v>
      </c>
      <c r="D14" s="12">
        <v>2.5</v>
      </c>
      <c r="E14" s="12">
        <v>2.5</v>
      </c>
      <c r="F14" s="12">
        <v>2.5</v>
      </c>
      <c r="G14" s="12">
        <v>2.5</v>
      </c>
      <c r="H14" s="12">
        <v>2.5</v>
      </c>
      <c r="I14" s="12">
        <v>2.5</v>
      </c>
      <c r="K14" s="2" t="s">
        <v>36</v>
      </c>
      <c r="L14" s="3">
        <v>365</v>
      </c>
      <c r="M14" s="3">
        <f>+L14*7.5%</f>
        <v>27.375</v>
      </c>
      <c r="N14" s="3">
        <f>((L14/2*0.3)+L14/2)/365*30</f>
        <v>19.5</v>
      </c>
      <c r="O14" s="3">
        <f>(L14/2)/365*30</f>
        <v>15</v>
      </c>
      <c r="P14" s="3">
        <f>SUM(M14:O14)</f>
        <v>61.875</v>
      </c>
    </row>
    <row r="15" spans="1:16" ht="20.100000000000001" customHeight="1" x14ac:dyDescent="0.25">
      <c r="A15" s="20" t="s">
        <v>9</v>
      </c>
      <c r="B15" s="20"/>
      <c r="C15" s="3">
        <v>50</v>
      </c>
      <c r="D15" s="3">
        <v>50</v>
      </c>
      <c r="E15" s="3">
        <v>50</v>
      </c>
      <c r="F15" s="3">
        <v>0</v>
      </c>
      <c r="G15" s="3">
        <v>50</v>
      </c>
      <c r="H15" s="3">
        <v>50</v>
      </c>
      <c r="I15" s="3">
        <v>50</v>
      </c>
      <c r="K15" s="2" t="s">
        <v>36</v>
      </c>
      <c r="L15" s="3">
        <v>365</v>
      </c>
      <c r="M15" s="3">
        <f t="shared" ref="M15:M18" si="0">+L15*7.5%</f>
        <v>27.375</v>
      </c>
      <c r="N15" s="3">
        <f>((L15/2*0.3)+L15/2)/365*30</f>
        <v>19.5</v>
      </c>
      <c r="O15" s="3">
        <f t="shared" ref="O15:O18" si="1">(L15/2)/365*30</f>
        <v>15</v>
      </c>
      <c r="P15" s="3">
        <f t="shared" ref="P15:P18" si="2">SUM(M15:O15)</f>
        <v>61.875</v>
      </c>
    </row>
    <row r="16" spans="1:16" ht="20.100000000000001" customHeight="1" x14ac:dyDescent="0.25">
      <c r="A16" s="20" t="s">
        <v>40</v>
      </c>
      <c r="B16" s="20"/>
      <c r="C16" s="3">
        <v>0</v>
      </c>
      <c r="D16" s="3">
        <v>0</v>
      </c>
      <c r="E16" s="3">
        <v>64.5</v>
      </c>
      <c r="F16" s="3">
        <v>0</v>
      </c>
      <c r="G16" s="3">
        <v>0</v>
      </c>
      <c r="H16" s="3">
        <v>0</v>
      </c>
      <c r="I16" s="3">
        <v>0</v>
      </c>
      <c r="K16" s="2" t="s">
        <v>36</v>
      </c>
      <c r="L16" s="3">
        <v>450</v>
      </c>
      <c r="M16" s="3">
        <f t="shared" si="0"/>
        <v>33.75</v>
      </c>
      <c r="N16" s="3">
        <f>((L16/2*0.3)+L16/2)/365*30</f>
        <v>24.041095890410958</v>
      </c>
      <c r="O16" s="3">
        <f t="shared" si="1"/>
        <v>18.493150684931507</v>
      </c>
      <c r="P16" s="3">
        <f t="shared" si="2"/>
        <v>76.284246575342465</v>
      </c>
    </row>
    <row r="17" spans="1:16" ht="20.100000000000001" customHeight="1" x14ac:dyDescent="0.25">
      <c r="A17" s="20" t="s">
        <v>41</v>
      </c>
      <c r="B17" s="20"/>
      <c r="C17" s="3">
        <v>0</v>
      </c>
      <c r="D17" s="3">
        <v>0</v>
      </c>
      <c r="E17" s="3">
        <v>12</v>
      </c>
      <c r="F17" s="3">
        <v>0</v>
      </c>
      <c r="G17" s="3">
        <v>0</v>
      </c>
      <c r="H17" s="3">
        <v>0</v>
      </c>
      <c r="I17" s="3">
        <v>36</v>
      </c>
      <c r="K17" s="2" t="s">
        <v>37</v>
      </c>
      <c r="L17" s="3">
        <v>525</v>
      </c>
      <c r="M17" s="3">
        <f t="shared" si="0"/>
        <v>39.375</v>
      </c>
      <c r="N17" s="3">
        <f>((L17/2*0.3)+L17/2)/365*30</f>
        <v>28.047945205479451</v>
      </c>
      <c r="O17" s="3">
        <f t="shared" si="1"/>
        <v>21.575342465753423</v>
      </c>
      <c r="P17" s="3">
        <f t="shared" si="2"/>
        <v>88.998287671232873</v>
      </c>
    </row>
    <row r="18" spans="1:16" ht="20.100000000000001" customHeight="1" x14ac:dyDescent="0.25">
      <c r="A18" s="20" t="s">
        <v>19</v>
      </c>
      <c r="B18" s="20"/>
      <c r="C18" s="3">
        <v>50</v>
      </c>
      <c r="D18" s="3">
        <v>50</v>
      </c>
      <c r="E18" s="3">
        <v>50</v>
      </c>
      <c r="F18" s="3">
        <v>0</v>
      </c>
      <c r="G18" s="3">
        <v>50</v>
      </c>
      <c r="H18" s="3">
        <v>50</v>
      </c>
      <c r="I18" s="3">
        <v>50</v>
      </c>
      <c r="K18" s="2" t="s">
        <v>38</v>
      </c>
      <c r="L18" s="3">
        <v>100</v>
      </c>
      <c r="M18" s="3">
        <f t="shared" si="0"/>
        <v>7.5</v>
      </c>
      <c r="N18" s="3">
        <f>((L18/2*0.3)+L18/2)/365*30</f>
        <v>5.3424657534246576</v>
      </c>
      <c r="O18" s="3">
        <f t="shared" si="1"/>
        <v>4.10958904109589</v>
      </c>
      <c r="P18" s="3">
        <f t="shared" si="2"/>
        <v>16.952054794520549</v>
      </c>
    </row>
    <row r="19" spans="1:16" ht="20.100000000000001" customHeight="1" x14ac:dyDescent="0.25">
      <c r="A19" s="20" t="s">
        <v>13</v>
      </c>
      <c r="B19" s="20"/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K19" s="9" t="s">
        <v>39</v>
      </c>
      <c r="L19" s="15">
        <f>SUM(L14:L18)</f>
        <v>1805</v>
      </c>
      <c r="M19" s="15">
        <f>SUM(M14:M18)</f>
        <v>135.375</v>
      </c>
      <c r="N19" s="15">
        <f>SUM(N14:N18)</f>
        <v>96.43150684931507</v>
      </c>
      <c r="O19" s="15">
        <f>SUM(O14:O18)</f>
        <v>74.178082191780817</v>
      </c>
      <c r="P19" s="15">
        <f>SUM(P14:P18)</f>
        <v>305.98458904109589</v>
      </c>
    </row>
    <row r="20" spans="1:16" ht="20.100000000000001" customHeight="1" x14ac:dyDescent="0.25">
      <c r="A20" s="20" t="s">
        <v>29</v>
      </c>
      <c r="B20" s="20"/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</row>
    <row r="21" spans="1:16" ht="20.100000000000001" customHeight="1" x14ac:dyDescent="0.25">
      <c r="A21" s="20" t="s">
        <v>25</v>
      </c>
      <c r="B21" s="20"/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</row>
    <row r="22" spans="1:16" ht="20.100000000000001" customHeight="1" x14ac:dyDescent="0.25">
      <c r="A22" s="20" t="s">
        <v>26</v>
      </c>
      <c r="B22" s="20"/>
      <c r="C22" s="3">
        <v>10.19</v>
      </c>
      <c r="D22" s="3">
        <v>10.19</v>
      </c>
      <c r="E22" s="3">
        <v>10.19</v>
      </c>
      <c r="F22" s="3">
        <v>10.19</v>
      </c>
      <c r="G22" s="3">
        <v>10.19</v>
      </c>
      <c r="H22" s="3">
        <v>10.19</v>
      </c>
      <c r="I22" s="3">
        <v>10.19</v>
      </c>
    </row>
    <row r="23" spans="1:16" ht="20.100000000000001" customHeight="1" x14ac:dyDescent="0.25"/>
    <row r="24" spans="1:16" ht="20.100000000000001" customHeight="1" x14ac:dyDescent="0.25">
      <c r="A24" s="20" t="s">
        <v>15</v>
      </c>
      <c r="B24" s="20"/>
      <c r="C24" s="4">
        <f>SUM(C10:I22)</f>
        <v>2821.8300000000004</v>
      </c>
      <c r="K24">
        <f>+A6+'1'!A6</f>
        <v>26756.58</v>
      </c>
      <c r="M24">
        <f>+P19/30</f>
        <v>10.199486301369863</v>
      </c>
      <c r="P24">
        <f>+P19/17207</f>
        <v>1.7782564598192357E-2</v>
      </c>
    </row>
    <row r="25" spans="1:16" ht="20.100000000000001" customHeight="1" x14ac:dyDescent="0.25">
      <c r="K25">
        <f>+'3'!H24</f>
        <v>1.2171224703305325E-2</v>
      </c>
    </row>
    <row r="26" spans="1:16" ht="20.100000000000001" customHeight="1" x14ac:dyDescent="0.25">
      <c r="A26" s="20" t="s">
        <v>16</v>
      </c>
      <c r="B26" s="20"/>
      <c r="C26" s="4">
        <f>+C24+C6</f>
        <v>18023.432244</v>
      </c>
    </row>
    <row r="27" spans="1:16" ht="20.100000000000001" customHeight="1" x14ac:dyDescent="0.25"/>
    <row r="28" spans="1:16" ht="20.100000000000001" customHeight="1" x14ac:dyDescent="0.25">
      <c r="A28" s="6" t="s">
        <v>17</v>
      </c>
      <c r="B28" s="7">
        <v>14.77</v>
      </c>
      <c r="C28" s="3">
        <f>+B28*A6-D28</f>
        <v>18162.903697246998</v>
      </c>
      <c r="D28" s="3">
        <f>+K28*10.91</f>
        <v>3055.3829027530001</v>
      </c>
      <c r="E28" t="s">
        <v>44</v>
      </c>
      <c r="K28">
        <v>280.05342830000001</v>
      </c>
      <c r="L28">
        <v>10.91</v>
      </c>
    </row>
    <row r="29" spans="1:16" ht="20.100000000000001" customHeight="1" x14ac:dyDescent="0.25"/>
    <row r="30" spans="1:16" ht="20.100000000000001" customHeight="1" x14ac:dyDescent="0.25">
      <c r="A30" s="20" t="s">
        <v>18</v>
      </c>
      <c r="B30" s="20"/>
      <c r="C30" s="4">
        <f>+C28+D28-C26</f>
        <v>3194.8543559999998</v>
      </c>
      <c r="O30" s="10"/>
    </row>
    <row r="31" spans="1:16" ht="20.100000000000001" customHeight="1" x14ac:dyDescent="0.25"/>
    <row r="32" spans="1:16" ht="20.100000000000001" customHeight="1" x14ac:dyDescent="0.25">
      <c r="A32" s="20" t="s">
        <v>22</v>
      </c>
      <c r="B32" s="20"/>
      <c r="C32" s="4">
        <f>C30*0.3</f>
        <v>958.45630679999988</v>
      </c>
    </row>
    <row r="33" spans="1:3" ht="20.100000000000001" customHeight="1" x14ac:dyDescent="0.25">
      <c r="A33" s="5"/>
    </row>
    <row r="34" spans="1:3" ht="20.100000000000001" customHeight="1" x14ac:dyDescent="0.25">
      <c r="A34" s="20" t="s">
        <v>27</v>
      </c>
      <c r="B34" s="20"/>
      <c r="C34" s="4">
        <f>(C30-C32)*7%</f>
        <v>156.54786344400003</v>
      </c>
    </row>
    <row r="35" spans="1:3" ht="20.100000000000001" customHeight="1" x14ac:dyDescent="0.25">
      <c r="A35" s="5"/>
    </row>
    <row r="36" spans="1:3" ht="20.100000000000001" customHeight="1" x14ac:dyDescent="0.25">
      <c r="A36" s="20" t="s">
        <v>23</v>
      </c>
      <c r="B36" s="20"/>
      <c r="C36" s="4">
        <f>+C30-C32-C34</f>
        <v>2079.850185756</v>
      </c>
    </row>
    <row r="37" spans="1:3" ht="20.100000000000001" customHeight="1" x14ac:dyDescent="0.25">
      <c r="A37" s="5"/>
    </row>
    <row r="38" spans="1:3" ht="20.100000000000001" customHeight="1" x14ac:dyDescent="0.25">
      <c r="A38" s="20" t="s">
        <v>24</v>
      </c>
      <c r="B38" s="20"/>
      <c r="C38" s="3">
        <f>+C36/2</f>
        <v>1039.925092878</v>
      </c>
    </row>
  </sheetData>
  <mergeCells count="22">
    <mergeCell ref="A20:B20"/>
    <mergeCell ref="A3:B3"/>
    <mergeCell ref="A10:B10"/>
    <mergeCell ref="A12:B12"/>
    <mergeCell ref="A13:B13"/>
    <mergeCell ref="A14:B14"/>
    <mergeCell ref="A34:B34"/>
    <mergeCell ref="A36:B36"/>
    <mergeCell ref="A38:B38"/>
    <mergeCell ref="A11:B11"/>
    <mergeCell ref="A1:I1"/>
    <mergeCell ref="A21:B21"/>
    <mergeCell ref="A22:B22"/>
    <mergeCell ref="A24:B24"/>
    <mergeCell ref="A26:B26"/>
    <mergeCell ref="A30:B30"/>
    <mergeCell ref="A32:B32"/>
    <mergeCell ref="A15:B15"/>
    <mergeCell ref="A16:B16"/>
    <mergeCell ref="A17:B17"/>
    <mergeCell ref="A18:B18"/>
    <mergeCell ref="A19:B19"/>
  </mergeCells>
  <pageMargins left="0.7" right="0.7" top="0.75" bottom="0.75" header="0.3" footer="0.3"/>
  <pageSetup scale="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opLeftCell="A15" workbookViewId="0">
      <selection activeCell="L40" sqref="L40"/>
    </sheetView>
  </sheetViews>
  <sheetFormatPr baseColWidth="10" defaultRowHeight="15" x14ac:dyDescent="0.25"/>
  <cols>
    <col min="1" max="1" width="17.42578125" customWidth="1"/>
    <col min="3" max="3" width="12" customWidth="1"/>
    <col min="4" max="4" width="10.5703125" bestFit="1" customWidth="1"/>
    <col min="6" max="6" width="11.5703125" customWidth="1"/>
    <col min="17" max="17" width="20.28515625" bestFit="1" customWidth="1"/>
  </cols>
  <sheetData>
    <row r="1" spans="1:20" ht="20.100000000000001" customHeight="1" x14ac:dyDescent="0.25">
      <c r="A1" s="21" t="s">
        <v>53</v>
      </c>
      <c r="B1" s="21"/>
      <c r="C1" s="21"/>
      <c r="D1" s="21"/>
      <c r="E1" s="21"/>
      <c r="F1" s="21"/>
      <c r="G1" s="21"/>
      <c r="H1" s="21"/>
      <c r="I1" s="21"/>
      <c r="J1" s="21"/>
    </row>
    <row r="2" spans="1:20" ht="20.100000000000001" customHeight="1" x14ac:dyDescent="0.25"/>
    <row r="3" spans="1:20" ht="20.100000000000001" customHeight="1" x14ac:dyDescent="0.25">
      <c r="A3" s="20" t="s">
        <v>1</v>
      </c>
      <c r="B3" s="20" t="s">
        <v>2</v>
      </c>
      <c r="C3" s="14">
        <v>44741</v>
      </c>
    </row>
    <row r="4" spans="1:20" ht="20.100000000000001" customHeight="1" x14ac:dyDescent="0.25">
      <c r="L4">
        <v>283.8</v>
      </c>
      <c r="M4">
        <v>647.98</v>
      </c>
      <c r="N4">
        <v>131.4</v>
      </c>
      <c r="O4">
        <v>108.4</v>
      </c>
      <c r="P4">
        <v>153.80000000000001</v>
      </c>
      <c r="Q4">
        <v>111.2</v>
      </c>
    </row>
    <row r="5" spans="1:20" ht="20.100000000000001" customHeight="1" x14ac:dyDescent="0.25">
      <c r="A5" s="2"/>
      <c r="B5" s="2"/>
      <c r="C5" s="2" t="s">
        <v>47</v>
      </c>
      <c r="D5" s="2" t="s">
        <v>5</v>
      </c>
      <c r="E5" s="2" t="s">
        <v>5</v>
      </c>
      <c r="F5" s="2" t="s">
        <v>5</v>
      </c>
      <c r="G5" s="2" t="s">
        <v>5</v>
      </c>
      <c r="H5" s="2" t="s">
        <v>5</v>
      </c>
      <c r="I5" s="2" t="s">
        <v>5</v>
      </c>
      <c r="J5" s="2" t="s">
        <v>5</v>
      </c>
    </row>
    <row r="6" spans="1:20" ht="20.100000000000001" customHeight="1" x14ac:dyDescent="0.25">
      <c r="A6" s="2"/>
      <c r="B6" s="2"/>
      <c r="C6" s="2">
        <v>170.7</v>
      </c>
      <c r="D6" s="2">
        <v>117.4</v>
      </c>
      <c r="E6" s="2">
        <v>183.7</v>
      </c>
      <c r="F6" s="2">
        <v>146.9</v>
      </c>
      <c r="G6" s="2">
        <v>183.5</v>
      </c>
      <c r="H6" s="2">
        <v>148.1</v>
      </c>
      <c r="I6" s="2">
        <v>162.80000000000001</v>
      </c>
      <c r="J6" s="2">
        <v>157.4</v>
      </c>
    </row>
    <row r="7" spans="1:20" ht="20.100000000000001" customHeight="1" x14ac:dyDescent="0.25">
      <c r="A7" s="2" t="s">
        <v>43</v>
      </c>
      <c r="B7" s="3">
        <v>11.29</v>
      </c>
      <c r="C7" s="3">
        <f>+C6*$B$7</f>
        <v>1927.2029999999997</v>
      </c>
      <c r="D7" s="3">
        <f t="shared" ref="D7:J7" si="0">+D6*$B$7</f>
        <v>1325.4459999999999</v>
      </c>
      <c r="E7" s="3">
        <f t="shared" si="0"/>
        <v>2073.9729999999995</v>
      </c>
      <c r="F7" s="3">
        <f t="shared" si="0"/>
        <v>1658.501</v>
      </c>
      <c r="G7" s="3">
        <f t="shared" si="0"/>
        <v>2071.7149999999997</v>
      </c>
      <c r="H7" s="3">
        <f t="shared" si="0"/>
        <v>1672.0489999999998</v>
      </c>
      <c r="I7" s="3">
        <f t="shared" si="0"/>
        <v>1838.0119999999999</v>
      </c>
      <c r="J7" s="3">
        <f t="shared" si="0"/>
        <v>1777.0459999999998</v>
      </c>
      <c r="L7">
        <f>+C7*0.13</f>
        <v>250.53638999999998</v>
      </c>
      <c r="M7" s="16">
        <f>+C7+L7</f>
        <v>2177.7393899999997</v>
      </c>
      <c r="N7">
        <f>3168.4+11132.84</f>
        <v>14301.24</v>
      </c>
    </row>
    <row r="8" spans="1:20" ht="20.100000000000001" customHeight="1" x14ac:dyDescent="0.25"/>
    <row r="9" spans="1:20" ht="20.100000000000001" customHeight="1" x14ac:dyDescent="0.25"/>
    <row r="10" spans="1:20" ht="20.100000000000001" customHeight="1" x14ac:dyDescent="0.25">
      <c r="A10" s="1" t="s">
        <v>6</v>
      </c>
      <c r="C10" s="14">
        <v>45089</v>
      </c>
      <c r="D10" s="14">
        <v>45090</v>
      </c>
      <c r="E10" s="14">
        <v>45091</v>
      </c>
      <c r="F10" s="14">
        <v>45092</v>
      </c>
      <c r="G10" s="14">
        <v>45096</v>
      </c>
      <c r="H10" s="14">
        <v>45097</v>
      </c>
      <c r="I10" s="14">
        <v>45098</v>
      </c>
      <c r="J10" s="14">
        <v>45099</v>
      </c>
    </row>
    <row r="11" spans="1:20" ht="20.100000000000001" customHeight="1" x14ac:dyDescent="0.25">
      <c r="A11" s="20" t="s">
        <v>14</v>
      </c>
      <c r="B11" s="20"/>
      <c r="C11" s="3">
        <v>125</v>
      </c>
      <c r="D11" s="3">
        <v>125</v>
      </c>
      <c r="E11" s="3">
        <v>125</v>
      </c>
      <c r="F11" s="3">
        <v>125</v>
      </c>
      <c r="G11" s="3">
        <v>125</v>
      </c>
      <c r="H11" s="3">
        <v>125</v>
      </c>
      <c r="I11" s="3">
        <v>125</v>
      </c>
      <c r="J11" s="3">
        <v>125</v>
      </c>
    </row>
    <row r="12" spans="1:20" ht="20.100000000000001" customHeight="1" x14ac:dyDescent="0.25">
      <c r="A12" s="20" t="s">
        <v>42</v>
      </c>
      <c r="B12" s="20"/>
      <c r="C12" s="3">
        <v>0</v>
      </c>
      <c r="D12" s="11">
        <v>0</v>
      </c>
      <c r="E12" s="11">
        <v>0</v>
      </c>
      <c r="F12" s="11">
        <v>0</v>
      </c>
      <c r="G12" s="11"/>
      <c r="H12" s="11">
        <v>0</v>
      </c>
      <c r="I12" s="11">
        <v>0</v>
      </c>
      <c r="J12" s="11">
        <v>0</v>
      </c>
    </row>
    <row r="13" spans="1:20" ht="20.100000000000001" customHeight="1" x14ac:dyDescent="0.25">
      <c r="A13" s="20" t="s">
        <v>7</v>
      </c>
      <c r="B13" s="20"/>
      <c r="C13" s="11">
        <v>67</v>
      </c>
      <c r="D13" s="11">
        <v>52.5</v>
      </c>
      <c r="E13" s="11">
        <v>32.5</v>
      </c>
      <c r="F13" s="11">
        <v>32.5</v>
      </c>
      <c r="G13" s="11">
        <v>47</v>
      </c>
      <c r="H13" s="11">
        <v>35</v>
      </c>
      <c r="I13" s="11">
        <v>35</v>
      </c>
      <c r="J13" s="11">
        <v>35</v>
      </c>
    </row>
    <row r="14" spans="1:20" ht="20.100000000000001" customHeight="1" x14ac:dyDescent="0.25">
      <c r="A14" s="20" t="s">
        <v>8</v>
      </c>
      <c r="B14" s="22"/>
      <c r="C14" s="13">
        <f>15+15</f>
        <v>30</v>
      </c>
      <c r="D14" s="13">
        <f>15+15</f>
        <v>30</v>
      </c>
      <c r="E14" s="13">
        <f>10+15</f>
        <v>25</v>
      </c>
      <c r="F14" s="13">
        <f>5+15</f>
        <v>20</v>
      </c>
      <c r="G14" s="13">
        <f>15+15</f>
        <v>30</v>
      </c>
      <c r="H14" s="13">
        <f>10</f>
        <v>10</v>
      </c>
      <c r="I14" s="13">
        <f>10+15</f>
        <v>25</v>
      </c>
      <c r="J14" s="13">
        <f>10+15</f>
        <v>25</v>
      </c>
      <c r="L14" s="9" t="s">
        <v>35</v>
      </c>
      <c r="M14" s="9" t="s">
        <v>34</v>
      </c>
      <c r="N14" s="9" t="s">
        <v>30</v>
      </c>
      <c r="O14" s="9" t="s">
        <v>31</v>
      </c>
      <c r="P14" s="9" t="s">
        <v>32</v>
      </c>
      <c r="Q14" s="9" t="s">
        <v>33</v>
      </c>
    </row>
    <row r="15" spans="1:20" ht="20.100000000000001" customHeight="1" x14ac:dyDescent="0.25">
      <c r="A15" s="20" t="s">
        <v>10</v>
      </c>
      <c r="B15" s="20"/>
      <c r="C15" s="12">
        <v>4</v>
      </c>
      <c r="D15" s="12">
        <v>4</v>
      </c>
      <c r="E15" s="12">
        <v>2</v>
      </c>
      <c r="F15" s="12">
        <v>2</v>
      </c>
      <c r="G15" s="12">
        <v>4</v>
      </c>
      <c r="H15" s="12">
        <v>4</v>
      </c>
      <c r="I15" s="12">
        <v>4</v>
      </c>
      <c r="J15" s="12">
        <v>4</v>
      </c>
      <c r="L15" s="2" t="s">
        <v>36</v>
      </c>
      <c r="M15" s="3">
        <v>365</v>
      </c>
      <c r="N15" s="3">
        <f>+M15*7.5%</f>
        <v>27.375</v>
      </c>
      <c r="O15" s="3">
        <f>((M15/2*0.3)+M15/2)/365*30</f>
        <v>19.5</v>
      </c>
      <c r="P15" s="3">
        <f>(M15/2)/365*30</f>
        <v>15</v>
      </c>
      <c r="Q15" s="3">
        <f>SUM(N15:P15)</f>
        <v>61.875</v>
      </c>
      <c r="S15" t="s">
        <v>49</v>
      </c>
      <c r="T15">
        <v>20</v>
      </c>
    </row>
    <row r="16" spans="1:20" ht="20.100000000000001" customHeight="1" x14ac:dyDescent="0.25">
      <c r="A16" s="20" t="s">
        <v>9</v>
      </c>
      <c r="B16" s="20"/>
      <c r="C16" s="3">
        <v>50</v>
      </c>
      <c r="D16" s="3">
        <v>50</v>
      </c>
      <c r="E16" s="3">
        <v>50</v>
      </c>
      <c r="F16" s="3">
        <v>50</v>
      </c>
      <c r="G16" s="3">
        <v>50</v>
      </c>
      <c r="H16" s="3">
        <v>50</v>
      </c>
      <c r="I16" s="3">
        <v>50</v>
      </c>
      <c r="J16" s="3">
        <v>50</v>
      </c>
      <c r="L16" s="2" t="s">
        <v>36</v>
      </c>
      <c r="M16" s="3">
        <v>365</v>
      </c>
      <c r="N16" s="3">
        <f t="shared" ref="N16:N19" si="1">+M16*7.5%</f>
        <v>27.375</v>
      </c>
      <c r="O16" s="3">
        <f>((M16/2*0.3)+M16/2)/365*30</f>
        <v>19.5</v>
      </c>
      <c r="P16" s="3">
        <f t="shared" ref="P16:P19" si="2">(M16/2)/365*30</f>
        <v>15</v>
      </c>
      <c r="Q16" s="3">
        <f t="shared" ref="Q16:Q19" si="3">SUM(N16:P16)</f>
        <v>61.875</v>
      </c>
      <c r="S16" t="s">
        <v>50</v>
      </c>
      <c r="T16">
        <v>15</v>
      </c>
    </row>
    <row r="17" spans="1:20" ht="20.100000000000001" customHeight="1" x14ac:dyDescent="0.25">
      <c r="A17" s="20" t="s">
        <v>40</v>
      </c>
      <c r="B17" s="20"/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L17" s="2" t="s">
        <v>36</v>
      </c>
      <c r="M17" s="3">
        <v>450</v>
      </c>
      <c r="N17" s="3">
        <f t="shared" si="1"/>
        <v>33.75</v>
      </c>
      <c r="O17" s="3">
        <f>((M17/2*0.3)+M17/2)/365*30</f>
        <v>24.041095890410958</v>
      </c>
      <c r="P17" s="3">
        <f t="shared" si="2"/>
        <v>18.493150684931507</v>
      </c>
      <c r="Q17" s="3">
        <f t="shared" si="3"/>
        <v>76.284246575342465</v>
      </c>
      <c r="S17" t="s">
        <v>51</v>
      </c>
      <c r="T17">
        <v>12</v>
      </c>
    </row>
    <row r="18" spans="1:20" ht="20.100000000000001" customHeight="1" x14ac:dyDescent="0.25">
      <c r="A18" s="20" t="s">
        <v>41</v>
      </c>
      <c r="B18" s="20"/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L18" s="2" t="s">
        <v>37</v>
      </c>
      <c r="M18" s="3">
        <v>525</v>
      </c>
      <c r="N18" s="3">
        <f t="shared" si="1"/>
        <v>39.375</v>
      </c>
      <c r="O18" s="3">
        <f>((M18/2*0.3)+M18/2)/365*30</f>
        <v>28.047945205479451</v>
      </c>
      <c r="P18" s="3">
        <f t="shared" si="2"/>
        <v>21.575342465753423</v>
      </c>
      <c r="Q18" s="3">
        <f t="shared" si="3"/>
        <v>88.998287671232873</v>
      </c>
      <c r="S18" t="s">
        <v>52</v>
      </c>
      <c r="T18">
        <v>17.5</v>
      </c>
    </row>
    <row r="19" spans="1:20" ht="20.100000000000001" customHeight="1" x14ac:dyDescent="0.25">
      <c r="A19" s="20" t="s">
        <v>19</v>
      </c>
      <c r="B19" s="20"/>
      <c r="C19" s="3">
        <v>50</v>
      </c>
      <c r="D19" s="3">
        <v>50</v>
      </c>
      <c r="E19" s="3">
        <v>50</v>
      </c>
      <c r="F19" s="3">
        <v>50</v>
      </c>
      <c r="G19" s="3">
        <v>50</v>
      </c>
      <c r="H19" s="3">
        <v>0</v>
      </c>
      <c r="I19" s="3">
        <v>50</v>
      </c>
      <c r="J19" s="3">
        <v>50</v>
      </c>
      <c r="L19" s="2" t="s">
        <v>38</v>
      </c>
      <c r="M19" s="3">
        <v>100</v>
      </c>
      <c r="N19" s="3">
        <f t="shared" si="1"/>
        <v>7.5</v>
      </c>
      <c r="O19" s="3">
        <f>((M19/2*0.3)+M19/2)/365*30</f>
        <v>5.3424657534246576</v>
      </c>
      <c r="P19" s="3">
        <f t="shared" si="2"/>
        <v>4.10958904109589</v>
      </c>
      <c r="Q19" s="3">
        <f t="shared" si="3"/>
        <v>16.952054794520549</v>
      </c>
    </row>
    <row r="20" spans="1:20" ht="20.100000000000001" customHeight="1" x14ac:dyDescent="0.25">
      <c r="A20" s="20" t="s">
        <v>46</v>
      </c>
      <c r="B20" s="20"/>
      <c r="C20" s="3">
        <v>28.44</v>
      </c>
      <c r="D20" s="3">
        <v>28.44</v>
      </c>
      <c r="E20" s="3">
        <f>28.44+28.44</f>
        <v>56.88</v>
      </c>
      <c r="F20" s="3">
        <v>28.44</v>
      </c>
      <c r="G20" s="3">
        <v>28.44</v>
      </c>
      <c r="H20" s="3">
        <v>28.44</v>
      </c>
      <c r="I20" s="3">
        <v>28.44</v>
      </c>
      <c r="J20" s="3">
        <v>28.44</v>
      </c>
      <c r="L20" s="9" t="s">
        <v>39</v>
      </c>
      <c r="M20" s="15">
        <f>SUM(M15:M19)</f>
        <v>1805</v>
      </c>
      <c r="N20" s="15">
        <f>SUM(N15:N19)</f>
        <v>135.375</v>
      </c>
      <c r="O20" s="15">
        <f>SUM(O15:O19)</f>
        <v>96.43150684931507</v>
      </c>
      <c r="P20" s="15">
        <f>SUM(P15:P19)</f>
        <v>74.178082191780817</v>
      </c>
      <c r="Q20" s="15">
        <f>SUM(Q15:Q19)</f>
        <v>305.98458904109589</v>
      </c>
    </row>
    <row r="21" spans="1:20" ht="20.100000000000001" customHeight="1" x14ac:dyDescent="0.25">
      <c r="A21" s="20" t="s">
        <v>29</v>
      </c>
      <c r="B21" s="20"/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20" ht="20.100000000000001" customHeight="1" x14ac:dyDescent="0.25">
      <c r="A22" s="20" t="s">
        <v>25</v>
      </c>
      <c r="B22" s="20"/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20" ht="20.100000000000001" customHeight="1" x14ac:dyDescent="0.25">
      <c r="A23" s="20" t="s">
        <v>26</v>
      </c>
      <c r="B23" s="20"/>
      <c r="C23" s="3">
        <v>10.19</v>
      </c>
      <c r="D23" s="3">
        <v>10.19</v>
      </c>
      <c r="E23" s="3">
        <v>10.19</v>
      </c>
      <c r="F23" s="3">
        <v>10.19</v>
      </c>
      <c r="G23" s="3">
        <v>10.19</v>
      </c>
      <c r="H23" s="3">
        <v>10.19</v>
      </c>
      <c r="I23" s="3">
        <v>10.19</v>
      </c>
      <c r="J23" s="3">
        <v>10.19</v>
      </c>
    </row>
    <row r="24" spans="1:20" ht="20.100000000000001" customHeight="1" x14ac:dyDescent="0.25"/>
    <row r="25" spans="1:20" ht="20.100000000000001" customHeight="1" x14ac:dyDescent="0.25">
      <c r="A25" s="20" t="s">
        <v>15</v>
      </c>
      <c r="B25" s="20"/>
      <c r="C25" s="4">
        <f>SUM(C11:C23)</f>
        <v>364.63</v>
      </c>
      <c r="D25" s="4">
        <f t="shared" ref="D25:J25" si="4">SUM(D11:D23)</f>
        <v>350.13</v>
      </c>
      <c r="E25" s="4">
        <f t="shared" si="4"/>
        <v>351.57</v>
      </c>
      <c r="F25" s="4">
        <f t="shared" si="4"/>
        <v>318.13</v>
      </c>
      <c r="G25" s="4">
        <f t="shared" si="4"/>
        <v>344.63</v>
      </c>
      <c r="H25" s="4">
        <f t="shared" si="4"/>
        <v>262.63</v>
      </c>
      <c r="I25" s="4">
        <f t="shared" si="4"/>
        <v>327.63</v>
      </c>
      <c r="J25" s="4">
        <f t="shared" si="4"/>
        <v>327.63</v>
      </c>
      <c r="L25" t="e">
        <f>+A7+'1'!A6</f>
        <v>#VALUE!</v>
      </c>
      <c r="N25">
        <f>+Q20/30</f>
        <v>10.199486301369863</v>
      </c>
      <c r="Q25">
        <f>+Q20/17207</f>
        <v>1.7782564598192357E-2</v>
      </c>
    </row>
    <row r="26" spans="1:20" ht="20.100000000000001" customHeight="1" x14ac:dyDescent="0.25">
      <c r="L26">
        <f>+'3'!H24</f>
        <v>1.2171224703305325E-2</v>
      </c>
    </row>
    <row r="27" spans="1:20" ht="20.100000000000001" customHeight="1" x14ac:dyDescent="0.25">
      <c r="A27" s="20" t="s">
        <v>16</v>
      </c>
      <c r="B27" s="20"/>
      <c r="C27" s="4">
        <f>+C25+C7</f>
        <v>2291.8329999999996</v>
      </c>
      <c r="D27" s="4">
        <f t="shared" ref="D27:J27" si="5">+D25+D7</f>
        <v>1675.576</v>
      </c>
      <c r="E27" s="4">
        <f t="shared" si="5"/>
        <v>2425.5429999999997</v>
      </c>
      <c r="F27" s="4">
        <f t="shared" si="5"/>
        <v>1976.6309999999999</v>
      </c>
      <c r="G27" s="4">
        <f t="shared" si="5"/>
        <v>2416.3449999999998</v>
      </c>
      <c r="H27" s="4">
        <f t="shared" si="5"/>
        <v>1934.6789999999996</v>
      </c>
      <c r="I27" s="4">
        <f t="shared" si="5"/>
        <v>2165.6419999999998</v>
      </c>
      <c r="J27" s="4">
        <f t="shared" si="5"/>
        <v>2104.6759999999999</v>
      </c>
      <c r="Q27">
        <f>+Q20/30</f>
        <v>10.199486301369863</v>
      </c>
    </row>
    <row r="28" spans="1:20" ht="20.100000000000001" customHeight="1" x14ac:dyDescent="0.25"/>
    <row r="29" spans="1:20" ht="20.100000000000001" customHeight="1" x14ac:dyDescent="0.25">
      <c r="A29" s="6" t="s">
        <v>17</v>
      </c>
      <c r="B29" s="7">
        <v>14.77</v>
      </c>
      <c r="C29" s="3">
        <f>$B$29*C6</f>
        <v>2521.2389999999996</v>
      </c>
      <c r="D29" s="3">
        <f t="shared" ref="D29:J29" si="6">$B$29*D6</f>
        <v>1733.998</v>
      </c>
      <c r="E29" s="3">
        <f t="shared" si="6"/>
        <v>2713.2489999999998</v>
      </c>
      <c r="F29" s="3">
        <f t="shared" si="6"/>
        <v>2169.7130000000002</v>
      </c>
      <c r="G29" s="3">
        <f t="shared" si="6"/>
        <v>2710.2950000000001</v>
      </c>
      <c r="H29" s="3">
        <f t="shared" si="6"/>
        <v>2187.4369999999999</v>
      </c>
      <c r="I29" s="3">
        <f t="shared" si="6"/>
        <v>2404.556</v>
      </c>
      <c r="J29" s="3">
        <f t="shared" si="6"/>
        <v>2324.7980000000002</v>
      </c>
      <c r="L29">
        <v>280.05342830000001</v>
      </c>
      <c r="M29">
        <v>10.91</v>
      </c>
    </row>
    <row r="30" spans="1:20" ht="20.100000000000001" customHeight="1" x14ac:dyDescent="0.25"/>
    <row r="31" spans="1:20" ht="20.100000000000001" customHeight="1" x14ac:dyDescent="0.25">
      <c r="A31" s="20" t="s">
        <v>18</v>
      </c>
      <c r="B31" s="20"/>
      <c r="C31" s="4">
        <f>+C29-C27</f>
        <v>229.40599999999995</v>
      </c>
      <c r="D31" s="4">
        <f t="shared" ref="D31:J31" si="7">+D29-D27</f>
        <v>58.422000000000025</v>
      </c>
      <c r="E31" s="4">
        <f t="shared" si="7"/>
        <v>287.70600000000013</v>
      </c>
      <c r="F31" s="4">
        <f t="shared" si="7"/>
        <v>193.08200000000033</v>
      </c>
      <c r="G31" s="4">
        <f t="shared" si="7"/>
        <v>293.95000000000027</v>
      </c>
      <c r="H31" s="4">
        <f t="shared" si="7"/>
        <v>252.75800000000027</v>
      </c>
      <c r="I31" s="4">
        <f t="shared" si="7"/>
        <v>238.91400000000021</v>
      </c>
      <c r="J31" s="4">
        <f t="shared" si="7"/>
        <v>220.1220000000003</v>
      </c>
      <c r="P31" s="10"/>
    </row>
    <row r="32" spans="1:20" ht="20.100000000000001" customHeight="1" x14ac:dyDescent="0.25"/>
    <row r="33" spans="1:10" ht="20.100000000000001" customHeight="1" x14ac:dyDescent="0.25">
      <c r="A33" s="20" t="s">
        <v>22</v>
      </c>
      <c r="B33" s="20"/>
      <c r="C33" s="4">
        <f>C31*0.3</f>
        <v>68.821799999999982</v>
      </c>
      <c r="D33" s="4">
        <f t="shared" ref="D33:J33" si="8">D31*0.3</f>
        <v>17.526600000000006</v>
      </c>
      <c r="E33" s="4">
        <f t="shared" si="8"/>
        <v>86.311800000000034</v>
      </c>
      <c r="F33" s="4">
        <f t="shared" si="8"/>
        <v>57.924600000000098</v>
      </c>
      <c r="G33" s="4">
        <f t="shared" si="8"/>
        <v>88.185000000000073</v>
      </c>
      <c r="H33" s="4">
        <f t="shared" si="8"/>
        <v>75.827400000000083</v>
      </c>
      <c r="I33" s="4">
        <f t="shared" si="8"/>
        <v>71.674200000000056</v>
      </c>
      <c r="J33" s="4">
        <f t="shared" si="8"/>
        <v>66.036600000000092</v>
      </c>
    </row>
    <row r="34" spans="1:10" ht="20.100000000000001" customHeight="1" x14ac:dyDescent="0.25">
      <c r="A34" s="5"/>
    </row>
    <row r="35" spans="1:10" ht="20.100000000000001" customHeight="1" x14ac:dyDescent="0.25">
      <c r="A35" s="20" t="s">
        <v>27</v>
      </c>
      <c r="B35" s="20"/>
      <c r="C35" s="4">
        <f>(C31-C33)*7%</f>
        <v>11.240893999999997</v>
      </c>
      <c r="D35" s="4">
        <f t="shared" ref="D35:J35" si="9">(D31-D33)*7%</f>
        <v>2.8626780000000021</v>
      </c>
      <c r="E35" s="4">
        <f t="shared" si="9"/>
        <v>14.097594000000008</v>
      </c>
      <c r="F35" s="4">
        <f t="shared" si="9"/>
        <v>9.461018000000017</v>
      </c>
      <c r="G35" s="4">
        <f t="shared" si="9"/>
        <v>14.403550000000017</v>
      </c>
      <c r="H35" s="4">
        <f t="shared" si="9"/>
        <v>12.385142000000014</v>
      </c>
      <c r="I35" s="4">
        <f t="shared" si="9"/>
        <v>11.706786000000013</v>
      </c>
      <c r="J35" s="4">
        <f t="shared" si="9"/>
        <v>10.785978000000016</v>
      </c>
    </row>
    <row r="36" spans="1:10" ht="20.100000000000001" customHeight="1" x14ac:dyDescent="0.25">
      <c r="A36" s="5"/>
    </row>
    <row r="37" spans="1:10" ht="20.100000000000001" customHeight="1" x14ac:dyDescent="0.25">
      <c r="A37" s="20" t="s">
        <v>23</v>
      </c>
      <c r="B37" s="20"/>
      <c r="C37" s="4">
        <f>+C31-C33-C35</f>
        <v>149.34330599999996</v>
      </c>
      <c r="D37" s="4">
        <f t="shared" ref="D37:J37" si="10">+D31-D33-D35</f>
        <v>38.032722000000021</v>
      </c>
      <c r="E37" s="4">
        <f t="shared" si="10"/>
        <v>187.29660600000008</v>
      </c>
      <c r="F37" s="4">
        <f t="shared" si="10"/>
        <v>125.6963820000002</v>
      </c>
      <c r="G37" s="4">
        <f t="shared" si="10"/>
        <v>191.36145000000019</v>
      </c>
      <c r="H37" s="4">
        <f t="shared" si="10"/>
        <v>164.5454580000002</v>
      </c>
      <c r="I37" s="4">
        <f t="shared" si="10"/>
        <v>155.53301400000015</v>
      </c>
      <c r="J37" s="4">
        <f t="shared" si="10"/>
        <v>143.29942200000019</v>
      </c>
    </row>
    <row r="38" spans="1:10" ht="20.100000000000001" customHeight="1" x14ac:dyDescent="0.25">
      <c r="A38" s="5"/>
    </row>
    <row r="39" spans="1:10" ht="20.100000000000001" customHeight="1" x14ac:dyDescent="0.25">
      <c r="A39" s="20" t="s">
        <v>24</v>
      </c>
      <c r="B39" s="20"/>
      <c r="C39" s="3">
        <f>+C37/2</f>
        <v>74.671652999999978</v>
      </c>
      <c r="D39" s="3">
        <f t="shared" ref="D39:J39" si="11">+D37/2</f>
        <v>19.016361000000011</v>
      </c>
      <c r="E39" s="3">
        <f t="shared" si="11"/>
        <v>93.648303000000041</v>
      </c>
      <c r="F39" s="3">
        <f t="shared" si="11"/>
        <v>62.848191000000099</v>
      </c>
      <c r="G39" s="3">
        <f t="shared" si="11"/>
        <v>95.680725000000095</v>
      </c>
      <c r="H39" s="3">
        <f t="shared" si="11"/>
        <v>82.272729000000098</v>
      </c>
      <c r="I39" s="3">
        <f t="shared" si="11"/>
        <v>77.766507000000075</v>
      </c>
      <c r="J39" s="3">
        <f t="shared" si="11"/>
        <v>71.649711000000096</v>
      </c>
    </row>
    <row r="41" spans="1:10" x14ac:dyDescent="0.25">
      <c r="A41" s="19" t="s">
        <v>48</v>
      </c>
      <c r="B41" s="19"/>
      <c r="C41" s="17">
        <f>SUM(C39:J39)</f>
        <v>577.55418000000054</v>
      </c>
    </row>
  </sheetData>
  <mergeCells count="23">
    <mergeCell ref="A33:B33"/>
    <mergeCell ref="A35:B35"/>
    <mergeCell ref="A37:B37"/>
    <mergeCell ref="A39:B39"/>
    <mergeCell ref="A41:B41"/>
    <mergeCell ref="A1:J1"/>
    <mergeCell ref="A21:B21"/>
    <mergeCell ref="A22:B22"/>
    <mergeCell ref="A23:B23"/>
    <mergeCell ref="A25:B25"/>
    <mergeCell ref="A3:B3"/>
    <mergeCell ref="A11:B11"/>
    <mergeCell ref="A12:B12"/>
    <mergeCell ref="A13:B13"/>
    <mergeCell ref="A14:B14"/>
    <mergeCell ref="A27:B27"/>
    <mergeCell ref="A31:B31"/>
    <mergeCell ref="A15:B15"/>
    <mergeCell ref="A16:B16"/>
    <mergeCell ref="A17:B17"/>
    <mergeCell ref="A18:B18"/>
    <mergeCell ref="A19:B19"/>
    <mergeCell ref="A20:B20"/>
  </mergeCells>
  <pageMargins left="0.7" right="0.7" top="0.75" bottom="0.75" header="0.3" footer="0.3"/>
  <pageSetup scale="3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workbookViewId="0">
      <selection activeCell="E14" sqref="E14"/>
    </sheetView>
  </sheetViews>
  <sheetFormatPr baseColWidth="10" defaultRowHeight="15" x14ac:dyDescent="0.25"/>
  <cols>
    <col min="1" max="1" width="17.42578125" customWidth="1"/>
    <col min="3" max="3" width="12" customWidth="1"/>
    <col min="4" max="4" width="10.5703125" bestFit="1" customWidth="1"/>
    <col min="6" max="6" width="11.5703125" customWidth="1"/>
    <col min="17" max="17" width="20.28515625" bestFit="1" customWidth="1"/>
  </cols>
  <sheetData>
    <row r="1" spans="1:20" ht="20.100000000000001" customHeight="1" x14ac:dyDescent="0.25">
      <c r="A1" s="21" t="s">
        <v>53</v>
      </c>
      <c r="B1" s="21"/>
      <c r="C1" s="21"/>
      <c r="D1" s="21"/>
      <c r="E1" s="21"/>
      <c r="F1" s="21"/>
      <c r="G1" s="21"/>
      <c r="H1" s="21"/>
      <c r="I1" s="21"/>
      <c r="J1" s="21"/>
    </row>
    <row r="2" spans="1:20" ht="20.100000000000001" customHeight="1" x14ac:dyDescent="0.25"/>
    <row r="3" spans="1:20" ht="20.100000000000001" customHeight="1" x14ac:dyDescent="0.25">
      <c r="A3" s="20" t="s">
        <v>1</v>
      </c>
      <c r="B3" s="20" t="s">
        <v>2</v>
      </c>
      <c r="C3" s="14">
        <v>45135</v>
      </c>
    </row>
    <row r="4" spans="1:20" ht="20.100000000000001" customHeight="1" x14ac:dyDescent="0.25">
      <c r="L4">
        <v>283.8</v>
      </c>
      <c r="M4">
        <v>647.98</v>
      </c>
      <c r="N4">
        <v>131.4</v>
      </c>
      <c r="O4">
        <v>108.4</v>
      </c>
      <c r="P4">
        <v>153.80000000000001</v>
      </c>
      <c r="Q4">
        <v>111.2</v>
      </c>
    </row>
    <row r="5" spans="1:20" ht="20.100000000000001" customHeight="1" x14ac:dyDescent="0.25">
      <c r="A5" s="2"/>
      <c r="B5" s="2"/>
      <c r="C5" s="2" t="s">
        <v>47</v>
      </c>
      <c r="D5" s="2" t="s">
        <v>5</v>
      </c>
      <c r="E5" s="2" t="s">
        <v>5</v>
      </c>
      <c r="F5" s="2" t="s">
        <v>5</v>
      </c>
      <c r="G5" s="2" t="s">
        <v>5</v>
      </c>
      <c r="H5" s="2" t="s">
        <v>5</v>
      </c>
      <c r="I5" s="2" t="s">
        <v>5</v>
      </c>
      <c r="J5" s="2" t="s">
        <v>5</v>
      </c>
    </row>
    <row r="6" spans="1:20" ht="20.100000000000001" customHeight="1" x14ac:dyDescent="0.25">
      <c r="A6" s="2"/>
      <c r="B6" s="2"/>
      <c r="C6" s="2">
        <v>175.8</v>
      </c>
      <c r="D6" s="2">
        <v>150.4</v>
      </c>
      <c r="E6" s="2">
        <v>162.80000000000001</v>
      </c>
      <c r="F6" s="2"/>
      <c r="G6" s="2"/>
      <c r="H6" s="2"/>
      <c r="I6" s="2"/>
      <c r="J6" s="2"/>
    </row>
    <row r="7" spans="1:20" ht="20.100000000000001" customHeight="1" x14ac:dyDescent="0.25">
      <c r="A7" s="2" t="s">
        <v>43</v>
      </c>
      <c r="B7" s="3">
        <v>11.29</v>
      </c>
      <c r="C7" s="3">
        <f>+C6*$B$7</f>
        <v>1984.7819999999999</v>
      </c>
      <c r="D7" s="3">
        <f t="shared" ref="D7:J7" si="0">+D6*$B$7</f>
        <v>1698.0159999999998</v>
      </c>
      <c r="E7" s="3">
        <f t="shared" si="0"/>
        <v>1838.0119999999999</v>
      </c>
      <c r="F7" s="3">
        <f t="shared" si="0"/>
        <v>0</v>
      </c>
      <c r="G7" s="3">
        <f t="shared" si="0"/>
        <v>0</v>
      </c>
      <c r="H7" s="3">
        <f t="shared" si="0"/>
        <v>0</v>
      </c>
      <c r="I7" s="3">
        <f t="shared" si="0"/>
        <v>0</v>
      </c>
      <c r="J7" s="3">
        <f t="shared" si="0"/>
        <v>0</v>
      </c>
      <c r="L7">
        <f>+C7*0.13</f>
        <v>258.02166</v>
      </c>
      <c r="M7" s="16">
        <f>+C7+L7</f>
        <v>2242.80366</v>
      </c>
      <c r="N7">
        <f>3168.4+11132.84</f>
        <v>14301.24</v>
      </c>
    </row>
    <row r="8" spans="1:20" ht="20.100000000000001" customHeight="1" x14ac:dyDescent="0.25"/>
    <row r="9" spans="1:20" ht="20.100000000000001" customHeight="1" x14ac:dyDescent="0.25"/>
    <row r="10" spans="1:20" ht="20.100000000000001" customHeight="1" x14ac:dyDescent="0.25">
      <c r="A10" s="1" t="s">
        <v>6</v>
      </c>
      <c r="C10" s="14">
        <v>45113</v>
      </c>
      <c r="D10" s="14">
        <v>45127</v>
      </c>
      <c r="E10" s="14">
        <v>45133</v>
      </c>
      <c r="F10" s="14"/>
      <c r="G10" s="14"/>
      <c r="H10" s="14"/>
      <c r="I10" s="14"/>
      <c r="J10" s="14"/>
    </row>
    <row r="11" spans="1:20" ht="20.100000000000001" customHeight="1" x14ac:dyDescent="0.25">
      <c r="A11" s="20" t="s">
        <v>14</v>
      </c>
      <c r="B11" s="20"/>
      <c r="C11" s="3">
        <v>125</v>
      </c>
      <c r="D11" s="3">
        <v>125</v>
      </c>
      <c r="E11" s="3">
        <v>125</v>
      </c>
      <c r="F11" s="3"/>
      <c r="G11" s="3"/>
      <c r="H11" s="3"/>
      <c r="I11" s="3"/>
      <c r="J11" s="3"/>
    </row>
    <row r="12" spans="1:20" ht="20.100000000000001" customHeight="1" x14ac:dyDescent="0.25">
      <c r="A12" s="20" t="s">
        <v>42</v>
      </c>
      <c r="B12" s="20"/>
      <c r="C12" s="3">
        <v>0</v>
      </c>
      <c r="D12" s="11">
        <v>0</v>
      </c>
      <c r="E12" s="11">
        <v>0</v>
      </c>
      <c r="F12" s="11"/>
      <c r="G12" s="11"/>
      <c r="H12" s="11"/>
      <c r="I12" s="11"/>
      <c r="J12" s="11"/>
    </row>
    <row r="13" spans="1:20" ht="20.100000000000001" customHeight="1" x14ac:dyDescent="0.25">
      <c r="A13" s="20" t="s">
        <v>7</v>
      </c>
      <c r="B13" s="20"/>
      <c r="C13" s="11">
        <v>28.44</v>
      </c>
      <c r="D13" s="11">
        <v>28.44</v>
      </c>
      <c r="E13" s="11">
        <v>28.44</v>
      </c>
      <c r="F13" s="11"/>
      <c r="G13" s="11"/>
      <c r="H13" s="11"/>
      <c r="I13" s="11"/>
      <c r="J13" s="11"/>
    </row>
    <row r="14" spans="1:20" ht="20.100000000000001" customHeight="1" x14ac:dyDescent="0.25">
      <c r="A14" s="20" t="s">
        <v>8</v>
      </c>
      <c r="B14" s="22"/>
      <c r="C14" s="13">
        <f>15+15</f>
        <v>30</v>
      </c>
      <c r="D14" s="13">
        <f>15+15</f>
        <v>30</v>
      </c>
      <c r="E14" s="13">
        <f>10+15</f>
        <v>25</v>
      </c>
      <c r="F14" s="13"/>
      <c r="G14" s="13"/>
      <c r="H14" s="13"/>
      <c r="I14" s="13"/>
      <c r="J14" s="13"/>
      <c r="L14" s="9" t="s">
        <v>35</v>
      </c>
      <c r="M14" s="9" t="s">
        <v>34</v>
      </c>
      <c r="N14" s="9" t="s">
        <v>30</v>
      </c>
      <c r="O14" s="9" t="s">
        <v>31</v>
      </c>
      <c r="P14" s="9" t="s">
        <v>32</v>
      </c>
      <c r="Q14" s="9" t="s">
        <v>33</v>
      </c>
    </row>
    <row r="15" spans="1:20" ht="20.100000000000001" customHeight="1" x14ac:dyDescent="0.25">
      <c r="A15" s="20" t="s">
        <v>10</v>
      </c>
      <c r="B15" s="20"/>
      <c r="C15" s="12">
        <v>4</v>
      </c>
      <c r="D15" s="12">
        <v>4</v>
      </c>
      <c r="E15" s="12">
        <v>2</v>
      </c>
      <c r="F15" s="12"/>
      <c r="G15" s="12"/>
      <c r="H15" s="12"/>
      <c r="I15" s="12"/>
      <c r="J15" s="12"/>
      <c r="L15" s="2" t="s">
        <v>36</v>
      </c>
      <c r="M15" s="3">
        <v>365</v>
      </c>
      <c r="N15" s="3">
        <f>+M15*7.5%</f>
        <v>27.375</v>
      </c>
      <c r="O15" s="3">
        <f>((M15/2*0.3)+M15/2)/365*30</f>
        <v>19.5</v>
      </c>
      <c r="P15" s="3">
        <f>(M15/2)/365*30</f>
        <v>15</v>
      </c>
      <c r="Q15" s="3">
        <f>SUM(N15:P15)</f>
        <v>61.875</v>
      </c>
      <c r="S15" t="s">
        <v>49</v>
      </c>
      <c r="T15">
        <v>20</v>
      </c>
    </row>
    <row r="16" spans="1:20" ht="20.100000000000001" customHeight="1" x14ac:dyDescent="0.25">
      <c r="A16" s="20" t="s">
        <v>9</v>
      </c>
      <c r="B16" s="20"/>
      <c r="C16" s="3">
        <v>50</v>
      </c>
      <c r="D16" s="3">
        <v>50</v>
      </c>
      <c r="E16" s="3">
        <v>50</v>
      </c>
      <c r="F16" s="3"/>
      <c r="G16" s="3"/>
      <c r="H16" s="3"/>
      <c r="I16" s="3"/>
      <c r="J16" s="3"/>
      <c r="L16" s="2" t="s">
        <v>36</v>
      </c>
      <c r="M16" s="3">
        <v>365</v>
      </c>
      <c r="N16" s="3">
        <f t="shared" ref="N16:N19" si="1">+M16*7.5%</f>
        <v>27.375</v>
      </c>
      <c r="O16" s="3">
        <f>((M16/2*0.3)+M16/2)/365*30</f>
        <v>19.5</v>
      </c>
      <c r="P16" s="3">
        <f t="shared" ref="P16:P19" si="2">(M16/2)/365*30</f>
        <v>15</v>
      </c>
      <c r="Q16" s="3">
        <f t="shared" ref="Q16:Q19" si="3">SUM(N16:P16)</f>
        <v>61.875</v>
      </c>
      <c r="S16" t="s">
        <v>50</v>
      </c>
      <c r="T16">
        <v>15</v>
      </c>
    </row>
    <row r="17" spans="1:20" ht="20.100000000000001" customHeight="1" x14ac:dyDescent="0.25">
      <c r="A17" s="20" t="s">
        <v>40</v>
      </c>
      <c r="B17" s="20"/>
      <c r="C17" s="3">
        <v>0</v>
      </c>
      <c r="D17" s="3">
        <v>0</v>
      </c>
      <c r="E17" s="3">
        <v>0</v>
      </c>
      <c r="F17" s="3"/>
      <c r="G17" s="3"/>
      <c r="H17" s="3"/>
      <c r="I17" s="3"/>
      <c r="J17" s="3"/>
      <c r="L17" s="2" t="s">
        <v>36</v>
      </c>
      <c r="M17" s="3">
        <v>450</v>
      </c>
      <c r="N17" s="3">
        <f t="shared" si="1"/>
        <v>33.75</v>
      </c>
      <c r="O17" s="3">
        <f>((M17/2*0.3)+M17/2)/365*30</f>
        <v>24.041095890410958</v>
      </c>
      <c r="P17" s="3">
        <f t="shared" si="2"/>
        <v>18.493150684931507</v>
      </c>
      <c r="Q17" s="3">
        <f t="shared" si="3"/>
        <v>76.284246575342465</v>
      </c>
      <c r="S17" t="s">
        <v>51</v>
      </c>
      <c r="T17">
        <v>12</v>
      </c>
    </row>
    <row r="18" spans="1:20" ht="20.100000000000001" customHeight="1" x14ac:dyDescent="0.25">
      <c r="A18" s="20" t="s">
        <v>41</v>
      </c>
      <c r="B18" s="20"/>
      <c r="C18" s="3">
        <v>0</v>
      </c>
      <c r="D18" s="3">
        <v>0</v>
      </c>
      <c r="E18" s="3">
        <v>0</v>
      </c>
      <c r="F18" s="3"/>
      <c r="G18" s="3"/>
      <c r="H18" s="3"/>
      <c r="I18" s="3"/>
      <c r="J18" s="3"/>
      <c r="L18" s="2" t="s">
        <v>37</v>
      </c>
      <c r="M18" s="3">
        <v>525</v>
      </c>
      <c r="N18" s="3">
        <f t="shared" si="1"/>
        <v>39.375</v>
      </c>
      <c r="O18" s="3">
        <f>((M18/2*0.3)+M18/2)/365*30</f>
        <v>28.047945205479451</v>
      </c>
      <c r="P18" s="3">
        <f t="shared" si="2"/>
        <v>21.575342465753423</v>
      </c>
      <c r="Q18" s="3">
        <f t="shared" si="3"/>
        <v>88.998287671232873</v>
      </c>
      <c r="S18" t="s">
        <v>52</v>
      </c>
      <c r="T18">
        <v>17.5</v>
      </c>
    </row>
    <row r="19" spans="1:20" ht="20.100000000000001" customHeight="1" x14ac:dyDescent="0.25">
      <c r="A19" s="20" t="s">
        <v>19</v>
      </c>
      <c r="B19" s="20"/>
      <c r="C19" s="3">
        <v>50</v>
      </c>
      <c r="D19" s="3">
        <v>50</v>
      </c>
      <c r="E19" s="3">
        <v>50</v>
      </c>
      <c r="F19" s="3"/>
      <c r="G19" s="3"/>
      <c r="H19" s="3"/>
      <c r="I19" s="3"/>
      <c r="J19" s="3"/>
      <c r="L19" s="2" t="s">
        <v>38</v>
      </c>
      <c r="M19" s="3">
        <v>100</v>
      </c>
      <c r="N19" s="3">
        <f t="shared" si="1"/>
        <v>7.5</v>
      </c>
      <c r="O19" s="3">
        <f>((M19/2*0.3)+M19/2)/365*30</f>
        <v>5.3424657534246576</v>
      </c>
      <c r="P19" s="3">
        <f t="shared" si="2"/>
        <v>4.10958904109589</v>
      </c>
      <c r="Q19" s="3">
        <f t="shared" si="3"/>
        <v>16.952054794520549</v>
      </c>
    </row>
    <row r="20" spans="1:20" ht="20.100000000000001" customHeight="1" x14ac:dyDescent="0.25">
      <c r="A20" s="20" t="s">
        <v>46</v>
      </c>
      <c r="B20" s="20"/>
      <c r="C20" s="3">
        <v>28.44</v>
      </c>
      <c r="D20" s="3">
        <v>28.44</v>
      </c>
      <c r="E20" s="3">
        <f>28.44+28.44</f>
        <v>56.88</v>
      </c>
      <c r="F20" s="3"/>
      <c r="G20" s="3"/>
      <c r="H20" s="3"/>
      <c r="I20" s="3"/>
      <c r="J20" s="3"/>
      <c r="L20" s="9" t="s">
        <v>39</v>
      </c>
      <c r="M20" s="15">
        <f>SUM(M15:M19)</f>
        <v>1805</v>
      </c>
      <c r="N20" s="15">
        <f>SUM(N15:N19)</f>
        <v>135.375</v>
      </c>
      <c r="O20" s="15">
        <f>SUM(O15:O19)</f>
        <v>96.43150684931507</v>
      </c>
      <c r="P20" s="15">
        <f>SUM(P15:P19)</f>
        <v>74.178082191780817</v>
      </c>
      <c r="Q20" s="15">
        <f>SUM(Q15:Q19)</f>
        <v>305.98458904109589</v>
      </c>
    </row>
    <row r="21" spans="1:20" ht="20.100000000000001" customHeight="1" x14ac:dyDescent="0.25">
      <c r="A21" s="20" t="s">
        <v>29</v>
      </c>
      <c r="B21" s="20"/>
      <c r="C21" s="3">
        <v>0</v>
      </c>
      <c r="D21" s="3">
        <v>0</v>
      </c>
      <c r="E21" s="3">
        <v>0</v>
      </c>
      <c r="F21" s="3"/>
      <c r="G21" s="3"/>
      <c r="H21" s="3"/>
      <c r="I21" s="3"/>
      <c r="J21" s="3"/>
    </row>
    <row r="22" spans="1:20" ht="20.100000000000001" customHeight="1" x14ac:dyDescent="0.25">
      <c r="A22" s="20" t="s">
        <v>25</v>
      </c>
      <c r="B22" s="20"/>
      <c r="C22" s="3">
        <v>0</v>
      </c>
      <c r="D22" s="3">
        <v>0</v>
      </c>
      <c r="E22" s="3">
        <v>0</v>
      </c>
      <c r="F22" s="3"/>
      <c r="G22" s="3"/>
      <c r="H22" s="3"/>
      <c r="I22" s="3"/>
      <c r="J22" s="3"/>
    </row>
    <row r="23" spans="1:20" ht="20.100000000000001" customHeight="1" x14ac:dyDescent="0.25">
      <c r="A23" s="20" t="s">
        <v>26</v>
      </c>
      <c r="B23" s="20"/>
      <c r="C23" s="3">
        <v>10.19</v>
      </c>
      <c r="D23" s="3">
        <v>10.19</v>
      </c>
      <c r="E23" s="3">
        <v>10.19</v>
      </c>
      <c r="F23" s="3"/>
      <c r="G23" s="3"/>
      <c r="H23" s="3"/>
      <c r="I23" s="3"/>
      <c r="J23" s="3"/>
    </row>
    <row r="24" spans="1:20" ht="20.100000000000001" customHeight="1" x14ac:dyDescent="0.25"/>
    <row r="25" spans="1:20" ht="20.100000000000001" customHeight="1" x14ac:dyDescent="0.25">
      <c r="A25" s="20" t="s">
        <v>15</v>
      </c>
      <c r="B25" s="20"/>
      <c r="C25" s="4">
        <f>SUM(C11:C23)</f>
        <v>326.07</v>
      </c>
      <c r="D25" s="4">
        <f t="shared" ref="D25:J25" si="4">SUM(D11:D23)</f>
        <v>326.07</v>
      </c>
      <c r="E25" s="4">
        <f t="shared" si="4"/>
        <v>347.51</v>
      </c>
      <c r="F25" s="4">
        <f t="shared" si="4"/>
        <v>0</v>
      </c>
      <c r="G25" s="4">
        <f t="shared" si="4"/>
        <v>0</v>
      </c>
      <c r="H25" s="4">
        <f t="shared" si="4"/>
        <v>0</v>
      </c>
      <c r="I25" s="4">
        <f t="shared" si="4"/>
        <v>0</v>
      </c>
      <c r="J25" s="4">
        <f t="shared" si="4"/>
        <v>0</v>
      </c>
      <c r="L25" t="e">
        <f>+A7+'1'!A6</f>
        <v>#VALUE!</v>
      </c>
      <c r="N25">
        <f>+Q20/30</f>
        <v>10.199486301369863</v>
      </c>
      <c r="Q25">
        <f>+Q20/17207</f>
        <v>1.7782564598192357E-2</v>
      </c>
    </row>
    <row r="26" spans="1:20" ht="20.100000000000001" customHeight="1" x14ac:dyDescent="0.25">
      <c r="L26">
        <f>+'3'!H24</f>
        <v>1.2171224703305325E-2</v>
      </c>
    </row>
    <row r="27" spans="1:20" ht="20.100000000000001" customHeight="1" x14ac:dyDescent="0.25">
      <c r="A27" s="20" t="s">
        <v>16</v>
      </c>
      <c r="B27" s="20"/>
      <c r="C27" s="4">
        <f>+C25+C7</f>
        <v>2310.8519999999999</v>
      </c>
      <c r="D27" s="4">
        <f t="shared" ref="D27:J27" si="5">+D25+D7</f>
        <v>2024.0859999999998</v>
      </c>
      <c r="E27" s="4">
        <f t="shared" si="5"/>
        <v>2185.5219999999999</v>
      </c>
      <c r="F27" s="4">
        <f t="shared" si="5"/>
        <v>0</v>
      </c>
      <c r="G27" s="4">
        <f t="shared" si="5"/>
        <v>0</v>
      </c>
      <c r="H27" s="4">
        <f t="shared" si="5"/>
        <v>0</v>
      </c>
      <c r="I27" s="4">
        <f t="shared" si="5"/>
        <v>0</v>
      </c>
      <c r="J27" s="4">
        <f t="shared" si="5"/>
        <v>0</v>
      </c>
      <c r="Q27">
        <f>+Q20/30</f>
        <v>10.199486301369863</v>
      </c>
    </row>
    <row r="28" spans="1:20" ht="20.100000000000001" customHeight="1" x14ac:dyDescent="0.25"/>
    <row r="29" spans="1:20" ht="20.100000000000001" customHeight="1" x14ac:dyDescent="0.25">
      <c r="A29" s="6" t="s">
        <v>17</v>
      </c>
      <c r="B29" s="7">
        <v>14.77</v>
      </c>
      <c r="C29" s="3">
        <f>$B$29*C6</f>
        <v>2596.5660000000003</v>
      </c>
      <c r="D29" s="3">
        <f t="shared" ref="D29:J29" si="6">$B$29*D6</f>
        <v>2221.4079999999999</v>
      </c>
      <c r="E29" s="3">
        <f t="shared" si="6"/>
        <v>2404.556</v>
      </c>
      <c r="F29" s="3">
        <f t="shared" si="6"/>
        <v>0</v>
      </c>
      <c r="G29" s="3">
        <f t="shared" si="6"/>
        <v>0</v>
      </c>
      <c r="H29" s="3">
        <f t="shared" si="6"/>
        <v>0</v>
      </c>
      <c r="I29" s="3">
        <f t="shared" si="6"/>
        <v>0</v>
      </c>
      <c r="J29" s="3">
        <f t="shared" si="6"/>
        <v>0</v>
      </c>
      <c r="L29">
        <v>280.05342830000001</v>
      </c>
      <c r="M29">
        <v>10.91</v>
      </c>
    </row>
    <row r="30" spans="1:20" ht="20.100000000000001" customHeight="1" x14ac:dyDescent="0.25"/>
    <row r="31" spans="1:20" ht="20.100000000000001" customHeight="1" x14ac:dyDescent="0.25">
      <c r="A31" s="20" t="s">
        <v>18</v>
      </c>
      <c r="B31" s="20"/>
      <c r="C31" s="4">
        <f>+C29-C27</f>
        <v>285.7140000000004</v>
      </c>
      <c r="D31" s="4">
        <f t="shared" ref="D31:J31" si="7">+D29-D27</f>
        <v>197.32200000000012</v>
      </c>
      <c r="E31" s="4">
        <f t="shared" si="7"/>
        <v>219.03400000000011</v>
      </c>
      <c r="F31" s="4">
        <f t="shared" si="7"/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f t="shared" si="7"/>
        <v>0</v>
      </c>
      <c r="P31" s="10"/>
    </row>
    <row r="32" spans="1:20" ht="20.100000000000001" customHeight="1" x14ac:dyDescent="0.25"/>
    <row r="33" spans="1:10" ht="20.100000000000001" customHeight="1" x14ac:dyDescent="0.25">
      <c r="A33" s="20" t="s">
        <v>22</v>
      </c>
      <c r="B33" s="20"/>
      <c r="C33" s="4">
        <f>C31*0.3</f>
        <v>85.714200000000119</v>
      </c>
      <c r="D33" s="4">
        <f t="shared" ref="D33:J33" si="8">D31*0.3</f>
        <v>59.196600000000032</v>
      </c>
      <c r="E33" s="4">
        <f t="shared" si="8"/>
        <v>65.710200000000029</v>
      </c>
      <c r="F33" s="4">
        <f t="shared" si="8"/>
        <v>0</v>
      </c>
      <c r="G33" s="4">
        <f t="shared" si="8"/>
        <v>0</v>
      </c>
      <c r="H33" s="4">
        <f t="shared" si="8"/>
        <v>0</v>
      </c>
      <c r="I33" s="4">
        <f t="shared" si="8"/>
        <v>0</v>
      </c>
      <c r="J33" s="4">
        <f t="shared" si="8"/>
        <v>0</v>
      </c>
    </row>
    <row r="34" spans="1:10" ht="20.100000000000001" customHeight="1" x14ac:dyDescent="0.25">
      <c r="A34" s="5"/>
    </row>
    <row r="35" spans="1:10" ht="20.100000000000001" customHeight="1" x14ac:dyDescent="0.25">
      <c r="A35" s="20" t="s">
        <v>27</v>
      </c>
      <c r="B35" s="20"/>
      <c r="C35" s="4">
        <f>(C31-C33)*7%</f>
        <v>13.999986000000021</v>
      </c>
      <c r="D35" s="4">
        <f t="shared" ref="D35:J35" si="9">(D31-D33)*7%</f>
        <v>9.668778000000005</v>
      </c>
      <c r="E35" s="4">
        <f t="shared" si="9"/>
        <v>10.732666000000005</v>
      </c>
      <c r="F35" s="4">
        <f t="shared" si="9"/>
        <v>0</v>
      </c>
      <c r="G35" s="4">
        <f t="shared" si="9"/>
        <v>0</v>
      </c>
      <c r="H35" s="4">
        <f t="shared" si="9"/>
        <v>0</v>
      </c>
      <c r="I35" s="4">
        <f t="shared" si="9"/>
        <v>0</v>
      </c>
      <c r="J35" s="4">
        <f t="shared" si="9"/>
        <v>0</v>
      </c>
    </row>
    <row r="36" spans="1:10" ht="20.100000000000001" customHeight="1" x14ac:dyDescent="0.25">
      <c r="A36" s="5"/>
    </row>
    <row r="37" spans="1:10" ht="20.100000000000001" customHeight="1" x14ac:dyDescent="0.25">
      <c r="A37" s="20" t="s">
        <v>23</v>
      </c>
      <c r="B37" s="20"/>
      <c r="C37" s="4">
        <f>+C31-C33-C35</f>
        <v>185.99981400000024</v>
      </c>
      <c r="D37" s="4">
        <f t="shared" ref="D37:J37" si="10">+D31-D33-D35</f>
        <v>128.45662200000007</v>
      </c>
      <c r="E37" s="4">
        <f t="shared" si="10"/>
        <v>142.59113400000007</v>
      </c>
      <c r="F37" s="4">
        <f t="shared" si="10"/>
        <v>0</v>
      </c>
      <c r="G37" s="4">
        <f t="shared" si="10"/>
        <v>0</v>
      </c>
      <c r="H37" s="4">
        <f t="shared" si="10"/>
        <v>0</v>
      </c>
      <c r="I37" s="4">
        <f t="shared" si="10"/>
        <v>0</v>
      </c>
      <c r="J37" s="4">
        <f t="shared" si="10"/>
        <v>0</v>
      </c>
    </row>
    <row r="38" spans="1:10" ht="20.100000000000001" customHeight="1" x14ac:dyDescent="0.25">
      <c r="A38" s="5"/>
    </row>
    <row r="39" spans="1:10" ht="20.100000000000001" customHeight="1" x14ac:dyDescent="0.25">
      <c r="A39" s="20" t="s">
        <v>24</v>
      </c>
      <c r="B39" s="20"/>
      <c r="C39" s="3">
        <f>+C37/2</f>
        <v>92.999907000000121</v>
      </c>
      <c r="D39" s="3">
        <f t="shared" ref="D39:J39" si="11">+D37/2</f>
        <v>64.228311000000033</v>
      </c>
      <c r="E39" s="3">
        <f t="shared" si="11"/>
        <v>71.295567000000034</v>
      </c>
      <c r="F39" s="3">
        <f t="shared" si="11"/>
        <v>0</v>
      </c>
      <c r="G39" s="3">
        <f t="shared" si="11"/>
        <v>0</v>
      </c>
      <c r="H39" s="3">
        <f t="shared" si="11"/>
        <v>0</v>
      </c>
      <c r="I39" s="3">
        <f t="shared" si="11"/>
        <v>0</v>
      </c>
      <c r="J39" s="3">
        <f t="shared" si="11"/>
        <v>0</v>
      </c>
    </row>
    <row r="41" spans="1:10" x14ac:dyDescent="0.25">
      <c r="A41" s="19" t="s">
        <v>48</v>
      </c>
      <c r="B41" s="19"/>
      <c r="C41" s="17">
        <f>SUM(C39:J39)</f>
        <v>228.52378500000017</v>
      </c>
    </row>
  </sheetData>
  <mergeCells count="23">
    <mergeCell ref="A33:B33"/>
    <mergeCell ref="A35:B35"/>
    <mergeCell ref="A37:B37"/>
    <mergeCell ref="A39:B39"/>
    <mergeCell ref="A41:B41"/>
    <mergeCell ref="A21:B21"/>
    <mergeCell ref="A22:B22"/>
    <mergeCell ref="A23:B23"/>
    <mergeCell ref="A25:B25"/>
    <mergeCell ref="A27:B27"/>
    <mergeCell ref="A31:B31"/>
    <mergeCell ref="A15:B15"/>
    <mergeCell ref="A16:B16"/>
    <mergeCell ref="A17:B17"/>
    <mergeCell ref="A18:B18"/>
    <mergeCell ref="A19:B19"/>
    <mergeCell ref="A20:B20"/>
    <mergeCell ref="A1:J1"/>
    <mergeCell ref="A3:B3"/>
    <mergeCell ref="A11:B11"/>
    <mergeCell ref="A12:B12"/>
    <mergeCell ref="A13:B13"/>
    <mergeCell ref="A14:B14"/>
  </mergeCells>
  <pageMargins left="0.7" right="0.7" top="0.75" bottom="0.75" header="0.3" footer="0.3"/>
  <pageSetup scale="3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workbookViewId="0">
      <selection activeCell="P24" sqref="P24"/>
    </sheetView>
  </sheetViews>
  <sheetFormatPr baseColWidth="10" defaultRowHeight="15" x14ac:dyDescent="0.25"/>
  <cols>
    <col min="1" max="1" width="17.42578125" customWidth="1"/>
    <col min="3" max="3" width="12" customWidth="1"/>
    <col min="4" max="4" width="10.5703125" bestFit="1" customWidth="1"/>
    <col min="6" max="6" width="11.5703125" customWidth="1"/>
    <col min="16" max="16" width="20.28515625" bestFit="1" customWidth="1"/>
  </cols>
  <sheetData>
    <row r="1" spans="1:16" ht="20.100000000000001" customHeight="1" x14ac:dyDescent="0.25">
      <c r="A1" s="21" t="s">
        <v>45</v>
      </c>
      <c r="B1" s="21"/>
      <c r="C1" s="21"/>
      <c r="D1" s="21"/>
      <c r="E1" s="21"/>
      <c r="F1" s="21"/>
      <c r="G1" s="21"/>
      <c r="H1" s="21"/>
      <c r="I1" s="21"/>
    </row>
    <row r="2" spans="1:16" ht="20.100000000000001" customHeight="1" x14ac:dyDescent="0.25"/>
    <row r="3" spans="1:16" ht="20.100000000000001" customHeight="1" x14ac:dyDescent="0.25">
      <c r="A3" s="20" t="s">
        <v>1</v>
      </c>
      <c r="B3" s="20" t="s">
        <v>2</v>
      </c>
      <c r="C3" s="14">
        <v>45068</v>
      </c>
    </row>
    <row r="4" spans="1:16" ht="20.100000000000001" customHeight="1" x14ac:dyDescent="0.25">
      <c r="K4">
        <v>283.8</v>
      </c>
      <c r="L4">
        <v>647.98</v>
      </c>
      <c r="M4">
        <v>131.4</v>
      </c>
      <c r="N4">
        <v>108.4</v>
      </c>
      <c r="O4">
        <v>153.80000000000001</v>
      </c>
      <c r="P4">
        <v>111.2</v>
      </c>
    </row>
    <row r="5" spans="1:16" ht="20.100000000000001" customHeight="1" x14ac:dyDescent="0.25">
      <c r="A5" s="2" t="s">
        <v>3</v>
      </c>
      <c r="B5" s="2" t="s">
        <v>43</v>
      </c>
      <c r="C5" s="2" t="s">
        <v>5</v>
      </c>
    </row>
    <row r="6" spans="1:16" ht="20.100000000000001" customHeight="1" x14ac:dyDescent="0.25">
      <c r="A6" s="2">
        <v>1436.58</v>
      </c>
      <c r="B6" s="2">
        <v>10.581799999999999</v>
      </c>
      <c r="C6" s="3">
        <f>+A6*B6</f>
        <v>15201.602243999998</v>
      </c>
      <c r="K6">
        <f>+C6*0.13</f>
        <v>1976.2082917199998</v>
      </c>
      <c r="L6" s="16">
        <f>+C6+K6</f>
        <v>17177.810535719997</v>
      </c>
      <c r="M6">
        <f>3168.4+11132.84</f>
        <v>14301.24</v>
      </c>
    </row>
    <row r="7" spans="1:16" ht="20.100000000000001" customHeight="1" x14ac:dyDescent="0.25"/>
    <row r="8" spans="1:16" ht="20.100000000000001" customHeight="1" x14ac:dyDescent="0.25"/>
    <row r="9" spans="1:16" ht="20.100000000000001" customHeight="1" x14ac:dyDescent="0.25">
      <c r="A9" s="1" t="s">
        <v>6</v>
      </c>
      <c r="C9" s="14">
        <v>45068</v>
      </c>
      <c r="D9" s="14">
        <v>45069</v>
      </c>
      <c r="E9" s="14">
        <v>45070</v>
      </c>
      <c r="F9" s="14">
        <v>45073</v>
      </c>
      <c r="G9" s="14">
        <v>45075</v>
      </c>
      <c r="H9" s="14">
        <v>45076</v>
      </c>
      <c r="I9" s="14">
        <v>45077</v>
      </c>
    </row>
    <row r="10" spans="1:16" ht="20.100000000000001" customHeight="1" x14ac:dyDescent="0.25">
      <c r="A10" s="20" t="s">
        <v>14</v>
      </c>
      <c r="B10" s="20"/>
      <c r="C10" s="3">
        <v>0</v>
      </c>
      <c r="D10" s="3">
        <v>0</v>
      </c>
      <c r="E10" s="3">
        <f>300+125</f>
        <v>425</v>
      </c>
      <c r="F10" s="3">
        <v>0</v>
      </c>
      <c r="G10" s="3">
        <f>125+125</f>
        <v>250</v>
      </c>
      <c r="H10" s="3">
        <v>0</v>
      </c>
      <c r="I10" s="3">
        <f>125+125</f>
        <v>250</v>
      </c>
    </row>
    <row r="11" spans="1:16" ht="20.100000000000001" customHeight="1" x14ac:dyDescent="0.25">
      <c r="A11" s="20" t="s">
        <v>42</v>
      </c>
      <c r="B11" s="20"/>
      <c r="C11" s="3">
        <v>0</v>
      </c>
      <c r="D11" s="11">
        <v>0</v>
      </c>
      <c r="E11" s="11">
        <v>500</v>
      </c>
      <c r="F11" s="11">
        <v>0</v>
      </c>
      <c r="G11" s="11"/>
      <c r="H11" s="11">
        <v>0</v>
      </c>
      <c r="I11" s="11">
        <v>0</v>
      </c>
    </row>
    <row r="12" spans="1:16" ht="20.100000000000001" customHeight="1" x14ac:dyDescent="0.25">
      <c r="A12" s="20" t="s">
        <v>7</v>
      </c>
      <c r="B12" s="20"/>
      <c r="C12" s="11">
        <v>67.5</v>
      </c>
      <c r="D12" s="11">
        <v>80.5</v>
      </c>
      <c r="E12" s="11">
        <v>80.5</v>
      </c>
      <c r="F12" s="11">
        <v>30.5</v>
      </c>
      <c r="G12" s="11">
        <v>65.5</v>
      </c>
      <c r="H12" s="11">
        <v>65.5</v>
      </c>
      <c r="I12" s="11">
        <v>65.5</v>
      </c>
    </row>
    <row r="13" spans="1:16" ht="20.100000000000001" customHeight="1" x14ac:dyDescent="0.25">
      <c r="A13" s="20" t="s">
        <v>8</v>
      </c>
      <c r="B13" s="22"/>
      <c r="C13" s="13">
        <v>20</v>
      </c>
      <c r="D13" s="13">
        <v>25</v>
      </c>
      <c r="E13" s="13">
        <v>25</v>
      </c>
      <c r="F13" s="13">
        <v>10</v>
      </c>
      <c r="G13" s="13">
        <v>20</v>
      </c>
      <c r="H13" s="13">
        <v>20</v>
      </c>
      <c r="I13" s="13">
        <v>20</v>
      </c>
      <c r="K13" s="9" t="s">
        <v>35</v>
      </c>
      <c r="L13" s="9" t="s">
        <v>34</v>
      </c>
      <c r="M13" s="9" t="s">
        <v>30</v>
      </c>
      <c r="N13" s="9" t="s">
        <v>31</v>
      </c>
      <c r="O13" s="9" t="s">
        <v>32</v>
      </c>
      <c r="P13" s="9" t="s">
        <v>33</v>
      </c>
    </row>
    <row r="14" spans="1:16" ht="20.100000000000001" customHeight="1" x14ac:dyDescent="0.25">
      <c r="A14" s="20" t="s">
        <v>10</v>
      </c>
      <c r="B14" s="20"/>
      <c r="C14" s="12">
        <v>2.5</v>
      </c>
      <c r="D14" s="12">
        <v>2.5</v>
      </c>
      <c r="E14" s="12">
        <v>2.5</v>
      </c>
      <c r="F14" s="12">
        <v>2.5</v>
      </c>
      <c r="G14" s="12">
        <v>2.5</v>
      </c>
      <c r="H14" s="12">
        <v>2.5</v>
      </c>
      <c r="I14" s="12">
        <v>2.5</v>
      </c>
      <c r="K14" s="2" t="s">
        <v>36</v>
      </c>
      <c r="L14" s="3">
        <v>365</v>
      </c>
      <c r="M14" s="3">
        <f>+L14*7.5%</f>
        <v>27.375</v>
      </c>
      <c r="N14" s="3">
        <f>((L14/2*0.3)+L14/2)/365*30</f>
        <v>19.5</v>
      </c>
      <c r="O14" s="3">
        <f>(L14/2)/365*30</f>
        <v>15</v>
      </c>
      <c r="P14" s="3">
        <f>SUM(M14:O14)</f>
        <v>61.875</v>
      </c>
    </row>
    <row r="15" spans="1:16" ht="20.100000000000001" customHeight="1" x14ac:dyDescent="0.25">
      <c r="A15" s="20" t="s">
        <v>9</v>
      </c>
      <c r="B15" s="20"/>
      <c r="C15" s="3">
        <v>50</v>
      </c>
      <c r="D15" s="3">
        <v>50</v>
      </c>
      <c r="E15" s="3">
        <v>50</v>
      </c>
      <c r="F15" s="3">
        <v>0</v>
      </c>
      <c r="G15" s="3">
        <v>50</v>
      </c>
      <c r="H15" s="3">
        <v>50</v>
      </c>
      <c r="I15" s="3">
        <v>50</v>
      </c>
      <c r="K15" s="2" t="s">
        <v>36</v>
      </c>
      <c r="L15" s="3">
        <v>365</v>
      </c>
      <c r="M15" s="3">
        <f t="shared" ref="M15:M18" si="0">+L15*7.5%</f>
        <v>27.375</v>
      </c>
      <c r="N15" s="3">
        <f>((L15/2*0.3)+L15/2)/365*30</f>
        <v>19.5</v>
      </c>
      <c r="O15" s="3">
        <f t="shared" ref="O15:O18" si="1">(L15/2)/365*30</f>
        <v>15</v>
      </c>
      <c r="P15" s="3">
        <f t="shared" ref="P15:P18" si="2">SUM(M15:O15)</f>
        <v>61.875</v>
      </c>
    </row>
    <row r="16" spans="1:16" ht="20.100000000000001" customHeight="1" x14ac:dyDescent="0.25">
      <c r="A16" s="20" t="s">
        <v>40</v>
      </c>
      <c r="B16" s="20"/>
      <c r="C16" s="3">
        <v>0</v>
      </c>
      <c r="D16" s="3">
        <v>0</v>
      </c>
      <c r="E16" s="3">
        <v>64.5</v>
      </c>
      <c r="F16" s="3">
        <v>0</v>
      </c>
      <c r="G16" s="3">
        <v>0</v>
      </c>
      <c r="H16" s="3">
        <v>0</v>
      </c>
      <c r="I16" s="3">
        <v>0</v>
      </c>
      <c r="K16" s="2" t="s">
        <v>36</v>
      </c>
      <c r="L16" s="3">
        <v>450</v>
      </c>
      <c r="M16" s="3">
        <f t="shared" si="0"/>
        <v>33.75</v>
      </c>
      <c r="N16" s="3">
        <f>((L16/2*0.3)+L16/2)/365*30</f>
        <v>24.041095890410958</v>
      </c>
      <c r="O16" s="3">
        <f t="shared" si="1"/>
        <v>18.493150684931507</v>
      </c>
      <c r="P16" s="3">
        <f t="shared" si="2"/>
        <v>76.284246575342465</v>
      </c>
    </row>
    <row r="17" spans="1:16" ht="20.100000000000001" customHeight="1" x14ac:dyDescent="0.25">
      <c r="A17" s="20" t="s">
        <v>41</v>
      </c>
      <c r="B17" s="20"/>
      <c r="C17" s="3">
        <v>0</v>
      </c>
      <c r="D17" s="3">
        <v>0</v>
      </c>
      <c r="E17" s="3">
        <v>12</v>
      </c>
      <c r="F17" s="3">
        <v>0</v>
      </c>
      <c r="G17" s="3">
        <v>0</v>
      </c>
      <c r="H17" s="3">
        <v>0</v>
      </c>
      <c r="I17" s="3">
        <v>36</v>
      </c>
      <c r="K17" s="2" t="s">
        <v>37</v>
      </c>
      <c r="L17" s="3">
        <v>525</v>
      </c>
      <c r="M17" s="3">
        <f t="shared" si="0"/>
        <v>39.375</v>
      </c>
      <c r="N17" s="3">
        <f>((L17/2*0.3)+L17/2)/365*30</f>
        <v>28.047945205479451</v>
      </c>
      <c r="O17" s="3">
        <f t="shared" si="1"/>
        <v>21.575342465753423</v>
      </c>
      <c r="P17" s="3">
        <f t="shared" si="2"/>
        <v>88.998287671232873</v>
      </c>
    </row>
    <row r="18" spans="1:16" ht="20.100000000000001" customHeight="1" x14ac:dyDescent="0.25">
      <c r="A18" s="20" t="s">
        <v>19</v>
      </c>
      <c r="B18" s="20"/>
      <c r="C18" s="3">
        <v>50</v>
      </c>
      <c r="D18" s="3">
        <v>50</v>
      </c>
      <c r="E18" s="3">
        <v>50</v>
      </c>
      <c r="F18" s="3">
        <v>0</v>
      </c>
      <c r="G18" s="3">
        <v>50</v>
      </c>
      <c r="H18" s="3">
        <v>50</v>
      </c>
      <c r="I18" s="3">
        <v>50</v>
      </c>
      <c r="K18" s="2" t="s">
        <v>38</v>
      </c>
      <c r="L18" s="3">
        <v>100</v>
      </c>
      <c r="M18" s="3">
        <f t="shared" si="0"/>
        <v>7.5</v>
      </c>
      <c r="N18" s="3">
        <f>((L18/2*0.3)+L18/2)/365*30</f>
        <v>5.3424657534246576</v>
      </c>
      <c r="O18" s="3">
        <f t="shared" si="1"/>
        <v>4.10958904109589</v>
      </c>
      <c r="P18" s="3">
        <f t="shared" si="2"/>
        <v>16.952054794520549</v>
      </c>
    </row>
    <row r="19" spans="1:16" ht="20.100000000000001" customHeight="1" x14ac:dyDescent="0.25">
      <c r="A19" s="20" t="s">
        <v>13</v>
      </c>
      <c r="B19" s="20"/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K19" s="9" t="s">
        <v>39</v>
      </c>
      <c r="L19" s="15">
        <f>SUM(L14:L18)</f>
        <v>1805</v>
      </c>
      <c r="M19" s="15">
        <f>SUM(M14:M18)</f>
        <v>135.375</v>
      </c>
      <c r="N19" s="15">
        <f>SUM(N14:N18)</f>
        <v>96.43150684931507</v>
      </c>
      <c r="O19" s="15">
        <f>SUM(O14:O18)</f>
        <v>74.178082191780817</v>
      </c>
      <c r="P19" s="15">
        <f>SUM(P14:P18)</f>
        <v>305.98458904109589</v>
      </c>
    </row>
    <row r="20" spans="1:16" ht="20.100000000000001" customHeight="1" x14ac:dyDescent="0.25">
      <c r="A20" s="20" t="s">
        <v>29</v>
      </c>
      <c r="B20" s="20"/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</row>
    <row r="21" spans="1:16" ht="20.100000000000001" customHeight="1" x14ac:dyDescent="0.25">
      <c r="A21" s="20" t="s">
        <v>25</v>
      </c>
      <c r="B21" s="20"/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</row>
    <row r="22" spans="1:16" ht="20.100000000000001" customHeight="1" x14ac:dyDescent="0.25">
      <c r="A22" s="20" t="s">
        <v>26</v>
      </c>
      <c r="B22" s="20"/>
      <c r="C22" s="3">
        <v>10.19</v>
      </c>
      <c r="D22" s="3">
        <v>10.19</v>
      </c>
      <c r="E22" s="3">
        <v>10.19</v>
      </c>
      <c r="F22" s="3">
        <v>10.19</v>
      </c>
      <c r="G22" s="3">
        <v>10.19</v>
      </c>
      <c r="H22" s="3">
        <v>10.19</v>
      </c>
      <c r="I22" s="3">
        <v>10.19</v>
      </c>
    </row>
    <row r="23" spans="1:16" ht="20.100000000000001" customHeight="1" x14ac:dyDescent="0.25"/>
    <row r="24" spans="1:16" ht="20.100000000000001" customHeight="1" x14ac:dyDescent="0.25">
      <c r="A24" s="20" t="s">
        <v>15</v>
      </c>
      <c r="B24" s="20"/>
      <c r="C24" s="4">
        <f>SUM(C10:I22)</f>
        <v>2821.8300000000004</v>
      </c>
      <c r="K24">
        <f>+A6+'1'!A6</f>
        <v>26756.58</v>
      </c>
      <c r="M24">
        <f>+P19/30</f>
        <v>10.199486301369863</v>
      </c>
      <c r="P24">
        <f>+P19/17207</f>
        <v>1.7782564598192357E-2</v>
      </c>
    </row>
    <row r="25" spans="1:16" ht="20.100000000000001" customHeight="1" x14ac:dyDescent="0.25">
      <c r="K25">
        <f>+'3'!H24</f>
        <v>1.2171224703305325E-2</v>
      </c>
    </row>
    <row r="26" spans="1:16" ht="20.100000000000001" customHeight="1" x14ac:dyDescent="0.25">
      <c r="A26" s="20" t="s">
        <v>16</v>
      </c>
      <c r="B26" s="20"/>
      <c r="C26" s="4">
        <f>+C24+C6</f>
        <v>18023.432244</v>
      </c>
    </row>
    <row r="27" spans="1:16" ht="20.100000000000001" customHeight="1" x14ac:dyDescent="0.25"/>
    <row r="28" spans="1:16" ht="20.100000000000001" customHeight="1" x14ac:dyDescent="0.25">
      <c r="A28" s="6" t="s">
        <v>17</v>
      </c>
      <c r="B28" s="7">
        <v>14.77</v>
      </c>
      <c r="C28" s="3">
        <f>+B28*A6-D28</f>
        <v>18162.903697246998</v>
      </c>
      <c r="D28" s="3">
        <f>+K28*10.91</f>
        <v>3055.3829027530001</v>
      </c>
      <c r="E28" t="s">
        <v>44</v>
      </c>
      <c r="K28">
        <v>280.05342830000001</v>
      </c>
      <c r="L28">
        <v>10.91</v>
      </c>
    </row>
    <row r="29" spans="1:16" ht="20.100000000000001" customHeight="1" x14ac:dyDescent="0.25"/>
    <row r="30" spans="1:16" ht="20.100000000000001" customHeight="1" x14ac:dyDescent="0.25">
      <c r="A30" s="20" t="s">
        <v>18</v>
      </c>
      <c r="B30" s="20"/>
      <c r="C30" s="4">
        <f>+C28+D28-C26</f>
        <v>3194.8543559999998</v>
      </c>
      <c r="O30" s="10"/>
    </row>
    <row r="31" spans="1:16" ht="20.100000000000001" customHeight="1" x14ac:dyDescent="0.25"/>
    <row r="32" spans="1:16" ht="20.100000000000001" customHeight="1" x14ac:dyDescent="0.25">
      <c r="A32" s="20" t="s">
        <v>22</v>
      </c>
      <c r="B32" s="20"/>
      <c r="C32" s="4">
        <f>C30*0.3</f>
        <v>958.45630679999988</v>
      </c>
    </row>
    <row r="33" spans="1:3" ht="20.100000000000001" customHeight="1" x14ac:dyDescent="0.25">
      <c r="A33" s="5"/>
    </row>
    <row r="34" spans="1:3" ht="20.100000000000001" customHeight="1" x14ac:dyDescent="0.25">
      <c r="A34" s="20" t="s">
        <v>27</v>
      </c>
      <c r="B34" s="20"/>
      <c r="C34" s="4">
        <f>(C30-C32)*7%</f>
        <v>156.54786344400003</v>
      </c>
    </row>
    <row r="35" spans="1:3" ht="20.100000000000001" customHeight="1" x14ac:dyDescent="0.25">
      <c r="A35" s="5"/>
    </row>
    <row r="36" spans="1:3" ht="20.100000000000001" customHeight="1" x14ac:dyDescent="0.25">
      <c r="A36" s="20" t="s">
        <v>23</v>
      </c>
      <c r="B36" s="20"/>
      <c r="C36" s="4">
        <f>+C30-C32-C34</f>
        <v>2079.850185756</v>
      </c>
    </row>
    <row r="37" spans="1:3" ht="20.100000000000001" customHeight="1" x14ac:dyDescent="0.25">
      <c r="A37" s="5"/>
    </row>
    <row r="38" spans="1:3" ht="20.100000000000001" customHeight="1" x14ac:dyDescent="0.25">
      <c r="A38" s="20" t="s">
        <v>24</v>
      </c>
      <c r="B38" s="20"/>
      <c r="C38" s="3">
        <f>+C36/2</f>
        <v>1039.925092878</v>
      </c>
    </row>
  </sheetData>
  <mergeCells count="22">
    <mergeCell ref="A32:B32"/>
    <mergeCell ref="A34:B34"/>
    <mergeCell ref="A36:B36"/>
    <mergeCell ref="A38:B38"/>
    <mergeCell ref="A20:B20"/>
    <mergeCell ref="A21:B21"/>
    <mergeCell ref="A22:B22"/>
    <mergeCell ref="A24:B24"/>
    <mergeCell ref="A26:B26"/>
    <mergeCell ref="A30:B30"/>
    <mergeCell ref="A19:B19"/>
    <mergeCell ref="A1:I1"/>
    <mergeCell ref="A3:B3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Hoja1 (2)</vt:lpstr>
      <vt:lpstr>1</vt:lpstr>
      <vt:lpstr>2</vt:lpstr>
      <vt:lpstr>3</vt:lpstr>
      <vt:lpstr>4</vt:lpstr>
      <vt:lpstr>R1</vt:lpstr>
      <vt:lpstr>EL ANGEL</vt:lpstr>
      <vt:lpstr>EL ANGEL JULIO</vt:lpstr>
      <vt:lpstr>ROBLE</vt:lpstr>
      <vt:lpstr>CHAPARRASTIQUE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Erick Ramos</cp:lastModifiedBy>
  <cp:lastPrinted>2023-06-29T19:31:12Z</cp:lastPrinted>
  <dcterms:created xsi:type="dcterms:W3CDTF">2023-04-12T15:20:07Z</dcterms:created>
  <dcterms:modified xsi:type="dcterms:W3CDTF">2023-07-28T17:43:08Z</dcterms:modified>
</cp:coreProperties>
</file>